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MRP - Market Renewal Program\Energy stream\Implementation\Reference levels\Posting Feb 2021\"/>
    </mc:Choice>
  </mc:AlternateContent>
  <bookViews>
    <workbookView xWindow="-120" yWindow="-120" windowWidth="29040" windowHeight="15840" tabRatio="719"/>
  </bookViews>
  <sheets>
    <sheet name="Introduction" sheetId="4" r:id="rId1"/>
    <sheet name="Reference Level Cost Components" sheetId="1" r:id="rId2"/>
    <sheet name="Draft Reference Cost" sheetId="9" state="hidden" r:id="rId3"/>
    <sheet name="Definitions of Cost Components" sheetId="2" r:id="rId4"/>
    <sheet name="FinDispatchDataParameters" sheetId="8" r:id="rId5"/>
    <sheet name="Non-FinDispatchDataParameters" sheetId="6" r:id="rId6"/>
    <sheet name="Supporting Documentation List" sheetId="3" r:id="rId7"/>
  </sheets>
  <definedNames>
    <definedName name="_xlnm._FilterDatabase" localSheetId="3" hidden="1">'Definitions of Cost Components'!$A$1:$C$1</definedName>
    <definedName name="_xlnm._FilterDatabase" localSheetId="5" hidden="1">'Non-FinDispatchDataParameters'!$A$1:$G$1</definedName>
    <definedName name="_xlnm._FilterDatabase" localSheetId="1" hidden="1">'Reference Level Cost Components'!$B$1:$H$1</definedName>
    <definedName name="_xlnm._FilterDatabase" localSheetId="6"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<sst xmlns="http://schemas.openxmlformats.org/spreadsheetml/2006/main" count="555" uniqueCount="350">
  <si>
    <t>Cost Workbook for Reference Levels - Nuclear Resources</t>
  </si>
  <si>
    <t xml:space="preserve">Resource Information </t>
  </si>
  <si>
    <t>Resource Name</t>
  </si>
  <si>
    <t>Resource ID</t>
  </si>
  <si>
    <t xml:space="preserve">Date of the Cost Workbook Completion </t>
  </si>
  <si>
    <t>Proposed Effective Date of the Cost Workbook</t>
  </si>
  <si>
    <t>Cost Component</t>
  </si>
  <si>
    <t>I. Units of measurement/Additional Information</t>
  </si>
  <si>
    <t>II. Applicability - Resource Type</t>
  </si>
  <si>
    <t>III. Input</t>
  </si>
  <si>
    <t>IV. Supporting Documentation Reference</t>
  </si>
  <si>
    <t>V. Comments</t>
  </si>
  <si>
    <t>(A)</t>
  </si>
  <si>
    <t>Performance Factors</t>
  </si>
  <si>
    <t>A.1</t>
  </si>
  <si>
    <t>Performance Factor</t>
  </si>
  <si>
    <t>-</t>
  </si>
  <si>
    <t>Applicable in all time periods</t>
  </si>
  <si>
    <t>(B)</t>
  </si>
  <si>
    <t>Fuel Costs</t>
  </si>
  <si>
    <t>B.1</t>
  </si>
  <si>
    <t>Basic Nuclear Fuel Cost</t>
  </si>
  <si>
    <t xml:space="preserve">$/kg (U) </t>
  </si>
  <si>
    <t>Nuclear</t>
  </si>
  <si>
    <t>B.2</t>
  </si>
  <si>
    <t>Incremental Fuel Consumption</t>
  </si>
  <si>
    <t xml:space="preserve"> kg (U))/MWh</t>
  </si>
  <si>
    <t>B.3</t>
  </si>
  <si>
    <t>Fuel Disposal Cost</t>
  </si>
  <si>
    <t>B.4</t>
  </si>
  <si>
    <t>Total Fuel Related Costs for Nuclear Resource</t>
  </si>
  <si>
    <t>(C)</t>
  </si>
  <si>
    <t>Operating and Maintenance (O&amp;M costs)</t>
  </si>
  <si>
    <t>C.1</t>
  </si>
  <si>
    <t xml:space="preserve">Corrective Maintenance </t>
  </si>
  <si>
    <t>$/MWh</t>
  </si>
  <si>
    <t>C.2</t>
  </si>
  <si>
    <t>Scheduled Maintenance</t>
  </si>
  <si>
    <t>C.3</t>
  </si>
  <si>
    <t>Operating Consumable Costs</t>
  </si>
  <si>
    <t>C.4</t>
  </si>
  <si>
    <t>Incremental Third Party Payments</t>
  </si>
  <si>
    <t>(D)</t>
  </si>
  <si>
    <t>Start-up Costs</t>
  </si>
  <si>
    <t>D.1</t>
  </si>
  <si>
    <t>Cold Start-up Cost</t>
  </si>
  <si>
    <t>$/Start</t>
  </si>
  <si>
    <t>D.2</t>
  </si>
  <si>
    <t>Start Fuel</t>
  </si>
  <si>
    <t>kg (U)/Start</t>
  </si>
  <si>
    <t>D.3</t>
  </si>
  <si>
    <t>Station Service Quantity</t>
  </si>
  <si>
    <t>MWh</t>
  </si>
  <si>
    <t>D.6</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</si>
  <si>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</si>
  <si>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</si>
  <si>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</si>
  <si>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</si>
  <si>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</si>
  <si>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</si>
  <si>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</si>
  <si>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</si>
  <si>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</si>
  <si>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</si>
  <si>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</si>
  <si>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</si>
  <si>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</si>
  <si>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</si>
  <si>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</si>
  <si>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</si>
  <si>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</si>
  <si>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</si>
  <si>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</si>
  <si>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</si>
  <si>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</si>
  <si>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</si>
  <si>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Gross Electrical Power</t>
  </si>
  <si>
    <t>Net Electrical Output</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</si>
  <si>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</si>
  <si>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</si>
  <si>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</si>
  <si>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</si>
  <si>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</si>
  <si>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</si>
  <si>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</si>
  <si>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</si>
  <si>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</si>
  <si>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</si>
  <si>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</si>
  <si>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</si>
  <si>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</si>
  <si>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</si>
  <si>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hrs</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</si>
  <si>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</si>
  <si>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</si>
  <si>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</si>
  <si>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</si>
  <si>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</si>
  <si>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</si>
  <si>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</si>
  <si>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</si>
  <si>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</si>
  <si>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</si>
  <si>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</si>
  <si>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</si>
  <si>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</si>
  <si>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</si>
  <si>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</si>
  <si>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</si>
  <si>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</si>
  <si>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</si>
  <si>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</si>
  <si>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</si>
  <si>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</si>
  <si>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</si>
  <si>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</si>
  <si>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</si>
  <si>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</si>
  <si>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</si>
  <si>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</si>
  <si>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</si>
  <si>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</si>
  <si>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</si>
  <si>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</si>
  <si>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</si>
  <si>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</si>
  <si>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</si>
  <si>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</si>
  <si>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</si>
  <si>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</si>
  <si>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</si>
  <si>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</si>
  <si>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</si>
  <si>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</si>
  <si>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</si>
  <si>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</si>
  <si>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</si>
  <si>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</si>
  <si>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</si>
  <si>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</si>
  <si>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</si>
  <si>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</si>
  <si>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</si>
  <si>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</si>
  <si>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</si>
  <si>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</si>
  <si>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</si>
  <si>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</si>
  <si>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</si>
  <si>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</si>
  <si>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</si>
  <si>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</si>
  <si>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</si>
  <si>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</si>
  <si>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</si>
  <si>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</si>
  <si>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</si>
  <si>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</si>
  <si>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</si>
  <si>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</si>
  <si>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</si>
  <si>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</si>
  <si>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</si>
  <si>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</si>
  <si>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</si>
  <si>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</si>
  <si>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</si>
  <si>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</si>
  <si>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</si>
  <si>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</si>
  <si>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</si>
  <si>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</si>
  <si>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</si>
  <si>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</si>
  <si>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</si>
  <si>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</si>
  <si>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</si>
  <si>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</si>
  <si>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</si>
  <si>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</si>
  <si>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</si>
  <si>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</si>
  <si>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</si>
  <si>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</si>
  <si>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</si>
  <si>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</si>
  <si>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</si>
  <si>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</si>
  <si>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</si>
  <si>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</si>
  <si>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</si>
  <si>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</si>
  <si>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</si>
  <si>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</si>
  <si>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</si>
  <si>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</si>
  <si>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</si>
  <si>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 and Rates</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</si>
  <si>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</si>
  <si>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</si>
  <si>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</si>
  <si>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</si>
  <si>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</si>
  <si>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</si>
  <si>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</si>
  <si>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</si>
  <si>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</si>
  <si>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</si>
  <si>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</si>
  <si>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</si>
  <si>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Basic Fuel Cost</t>
  </si>
  <si>
    <t>The cost of fuel calculated as stated in the …..</t>
  </si>
  <si>
    <t xml:space="preserve">Incremental Energy Cost </t>
  </si>
  <si>
    <t>Total Cost</t>
  </si>
  <si>
    <t>Leased Fuel Transportation Equipment</t>
  </si>
  <si>
    <t>Operating Costs</t>
  </si>
  <si>
    <t>Maintenance Adder</t>
  </si>
  <si>
    <t>Note: Maintenace accounted in operating cost</t>
  </si>
  <si>
    <t>Total Fuel Related Costs</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</si>
  <si>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</si>
  <si>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</si>
  <si>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</si>
  <si>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</si>
  <si>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</si>
  <si>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Station Service Rate</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</si>
  <si>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</si>
  <si>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</si>
  <si>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</si>
  <si>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</si>
  <si>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</si>
  <si>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</si>
  <si>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</si>
  <si>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</si>
  <si>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</si>
  <si>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</si>
  <si>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</si>
  <si>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</si>
  <si>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</si>
  <si>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</si>
  <si>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</si>
  <si>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</si>
  <si>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</si>
  <si>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</si>
  <si>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</si>
  <si>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</si>
  <si>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</si>
  <si>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</si>
  <si>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</si>
  <si>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</si>
  <si>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</si>
  <si>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</si>
  <si>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</si>
  <si>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</si>
  <si>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</si>
  <si>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</si>
  <si>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Cost Category </t>
  </si>
  <si>
    <t>Description</t>
  </si>
  <si>
    <t>A</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</si>
  <si>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</si>
  <si>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</si>
  <si>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Incremental cost of fuel consumed</t>
  </si>
  <si>
    <t xml:space="preserve">Total cost including uranium ore, fabrication, shipping and long term disposal  </t>
  </si>
  <si>
    <t>Fuel Disposal Costs</t>
  </si>
  <si>
    <t>Total cost for fuel transport and disposal</t>
  </si>
  <si>
    <t>Total Fuel-Related Costs for Nuclear Resource</t>
  </si>
  <si>
    <t>Total Fuel Related Cost is the sum of fuel costs, fuel related cost, disposal cost, and maintenance costs (sections below)</t>
  </si>
  <si>
    <t>Operating and Maintenance Costs</t>
  </si>
  <si>
    <t>Corrective Maintenance</t>
  </si>
  <si>
    <t>Operating Consumables Costs</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</si>
  <si>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</si>
  <si>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</si>
  <si>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</si>
  <si>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</si>
  <si>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 xml:space="preserve">Station service requirements required to  bring the generator from cold shut-down conditions to the point  after breaker closure. The station service quantity will be multiplied by the applicable station service rate. </t>
  </si>
  <si>
    <t>D.4</t>
  </si>
  <si>
    <t>Start Maintenancer Adder</t>
  </si>
  <si>
    <t>D.5</t>
  </si>
  <si>
    <t>Days Between Outages</t>
  </si>
  <si>
    <t>the number of days between planned outages as scheduled with the IESO for a given nuclear power resource</t>
  </si>
  <si>
    <t>Pro-Rated Start Costs</t>
  </si>
  <si>
    <t xml:space="preserve"> Separate for Day Ahead and Real-Time markets</t>
  </si>
  <si>
    <t>Parameter</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</si>
  <si>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</si>
  <si>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</si>
  <si>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</si>
  <si>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</si>
  <si>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</si>
  <si>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Non-Financial Reference Level</t>
  </si>
  <si>
    <t>Supporting Documentation Required</t>
  </si>
  <si>
    <t>MW/min</t>
  </si>
  <si>
    <t>Station/Unit startup procedure from cold state;  
Station/Unit procedure for resources with load shedding capabilities;
Station/Unit procedures for engaging in and recovering from unit derates</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</si>
  <si>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</si>
  <si>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</si>
  <si>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</si>
  <si>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</si>
  <si>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</si>
  <si>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</si>
  <si>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</si>
  <si>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</si>
  <si>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</si>
  <si>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</si>
  <si>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</si>
  <si>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</si>
  <si>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</si>
  <si>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</si>
  <si>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</si>
  <si>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</si>
  <si>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</si>
  <si>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</si>
  <si>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</si>
  <si>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</si>
  <si>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</si>
  <si>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</si>
  <si>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</si>
  <si>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</si>
  <si>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</si>
  <si>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[Sample Nuclear Resource]</t>
  </si>
  <si>
    <t>Summer Value</t>
  </si>
  <si>
    <t>Winter Value</t>
  </si>
  <si>
    <t xml:space="preserve">III. Time-Based Applicability </t>
  </si>
  <si>
    <t>[to be filled by Market participant to substantiate all inputs into reference levels]</t>
  </si>
  <si>
    <t>$/start</t>
  </si>
  <si>
    <t>days</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</si>
  <si>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</si>
  <si>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</si>
  <si>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N/A</t>
  </si>
  <si>
    <t>Comments</t>
  </si>
  <si>
    <t>Energy Ramp Up Rate 1</t>
  </si>
  <si>
    <t>Energy Ramp Down Rate 1</t>
  </si>
  <si>
    <t>Energy Ramp Up Rate 2</t>
  </si>
  <si>
    <t>Energy Ramp Down Rate 2</t>
  </si>
  <si>
    <t>Energy Ramp Up Rate 3</t>
  </si>
  <si>
    <t>Energy Ramp Down Rate 3</t>
  </si>
  <si>
    <t>Energy Ramp Up Rate 4</t>
  </si>
  <si>
    <t>Energy Ramp Down Rate 4</t>
  </si>
  <si>
    <t>Energy Ramp Up Rate 5</t>
  </si>
  <si>
    <t>Energy Ramp Down Rate 5</t>
  </si>
  <si>
    <t>The energy ramp up rate profile across the dispatchable range that the resource expects to meet during normal operation.</t>
  </si>
  <si>
    <t>The energy ramp down rate profile across the dispatchable range that the resource expects to meet during normal operation.</t>
  </si>
  <si>
    <t>Ramp Quantity</t>
  </si>
  <si>
    <t>Technology type of Resource</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</si>
  <si>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</si>
  <si>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Scheduled Maintenance Costs include routine maintenance tasks which can be incurred during major outages and or during operating periods. 
Examples of allowable costs include: Turbine blade inspection repair/replacement;  Turbine diaphragm repair; casing inspection 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 All Major Pump and Motor inspection and repairs, Boiler Feed, Condenser Cooling Water, Primary Heat Transport, or Moderator Cooling, etc.; All systems heat exchanger cleaning, tube plugging and tube bundle inspections 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</si>
  <si>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(deuterium oxide), tritium removal. 
The operating consumables  cost shall be calculated based on a historical 5 year average. </t>
  </si>
  <si>
    <t>Start Maintenance Adder</t>
  </si>
  <si>
    <t>Additional maintenance required specifically for the start-up phase only</t>
  </si>
  <si>
    <t xml:space="preserve">Start-up costs distributed across one operating cycle, between planned and scheduled outages (IESO informed).
</t>
  </si>
  <si>
    <t>Equals the unit mass of uranium fuel required to produce a megawatt of electricity,  kg(U)/MWh(net)</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</si>
  <si>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 based offers if those costs are similar to the costs outlined in this provision, so long as they are variable costs that are directly attributable to the production of electricity.
Ref:  CNSC Reg RD/GD-210  Nov 2012.,  Maintenance Programs for Nuclear Power Plants
</t>
  </si>
  <si>
    <r>
      <t xml:space="preserve">Maintenance costs are incremental expenses incurred as a result of electricity production resulting from unscheduled (corrective) and major (corrective).   Only  maintenance costs related to electrical production, reactor safety margin management, environmental qualification maintenance, radiation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maintenance outage costs for parts and labor required for maintaining equipment and facilities in a safe and reliable operating condition.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</si>
</sst>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5">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
      <b/>
      <sz val="11"/>
      <color rgb="FFCC2026"/>
      <name val="Calibri"/>
      <family val="2"/>
      <scheme val="minor"/>
    </font>
    <font>
      <sz val="11"/>
      <color rgb="FFCC2026"/>
      <name val="Calibri"/>
      <family val="2"/>
      <scheme val="minor"/>
    </font>
    <font>
      <b/>
      <sz val="11"/>
      <color rgb="FFCD2026"/>
      <name val="Calibri"/>
      <family val="2"/>
      <scheme val="minor"/>
    </font>
    <font>
      <i/>
      <sz val="11"/>
      <color rgb="FFCD202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s>
  <borders count="4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5" borderId="2" applyNumberFormat="0" applyFont="0" applyAlignment="0" applyProtection="0"/>
    <xf numFmtId="164" fontId="5" fillId="0" borderId="0" applyFont="0" applyFill="0" applyBorder="0" applyAlignment="0" applyProtection="0"/>
  </cellStyleXfs>
  <cellXfs count="210">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7" fillId="6" borderId="15" xfId="1" applyFont="1" applyFill="1" applyBorder="1" applyAlignment="1">
      <alignment horizontal="left" vertical="center"/>
    </xf>
    <xf numFmtId="0" fontId="0" fillId="0" borderId="0" xfId="0" applyFont="1" applyAlignment="1">
      <alignment vertical="top"/>
    </xf>
    <xf numFmtId="0" fontId="11" fillId="7" borderId="3" xfId="0" applyFont="1" applyFill="1" applyBorder="1" applyAlignment="1">
      <alignment vertical="center" wrapText="1"/>
    </xf>
    <xf numFmtId="0" fontId="13"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2" fillId="0" borderId="3" xfId="0" applyFont="1" applyBorder="1" applyAlignment="1">
      <alignment vertical="center"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5"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6"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5"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5"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8"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7" fillId="6" borderId="15" xfId="1" applyFont="1" applyFill="1" applyBorder="1" applyAlignment="1">
      <alignment horizontal="center" vertical="center" wrapText="1"/>
    </xf>
    <xf numFmtId="0" fontId="7" fillId="6" borderId="15" xfId="1" applyFont="1" applyFill="1" applyBorder="1" applyAlignment="1">
      <alignment horizontal="left" vertical="top" wrapText="1"/>
    </xf>
    <xf numFmtId="0" fontId="7"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6"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18" fillId="0" borderId="0" xfId="0" applyFont="1"/>
    <xf numFmtId="0" fontId="0" fillId="2" borderId="3" xfId="0" applyFill="1" applyBorder="1" applyAlignment="1">
      <alignment vertical="center"/>
    </xf>
    <xf numFmtId="0" fontId="7"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0"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3" xfId="0" applyBorder="1" applyAlignment="1">
      <alignment wrapText="1"/>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0" fillId="8" borderId="8" xfId="0" applyFill="1" applyBorder="1" applyAlignment="1">
      <alignment horizontal="center" vertical="center" wrapText="1"/>
    </xf>
    <xf numFmtId="0" fontId="0" fillId="8" borderId="8" xfId="0" quotePrefix="1" applyFill="1" applyBorder="1" applyAlignment="1">
      <alignment horizontal="left" vertical="top" wrapText="1"/>
    </xf>
    <xf numFmtId="0" fontId="0" fillId="8" borderId="9" xfId="0" quotePrefix="1" applyFill="1" applyBorder="1" applyAlignment="1">
      <alignment horizontal="left" vertical="top" wrapText="1"/>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 fillId="3" borderId="3" xfId="0" applyFont="1" applyFill="1" applyBorder="1" applyAlignment="1">
      <alignment horizontal="left"/>
    </xf>
    <xf numFmtId="0" fontId="0" fillId="0" borderId="3" xfId="0" applyBorder="1"/>
    <xf numFmtId="0" fontId="0" fillId="8" borderId="3" xfId="0" applyFill="1" applyBorder="1"/>
    <xf numFmtId="0" fontId="8" fillId="0" borderId="5" xfId="0" applyFont="1" applyFill="1" applyBorder="1" applyAlignment="1">
      <alignment horizontal="left" vertical="center"/>
    </xf>
    <xf numFmtId="0" fontId="10" fillId="0" borderId="23" xfId="0" applyFont="1" applyBorder="1" applyAlignment="1">
      <alignment vertical="top" wrapText="1"/>
    </xf>
    <xf numFmtId="0" fontId="20" fillId="7" borderId="17" xfId="0" applyFont="1" applyFill="1" applyBorder="1" applyAlignment="1">
      <alignment vertical="top" wrapText="1"/>
    </xf>
    <xf numFmtId="0" fontId="8" fillId="0" borderId="30" xfId="0" applyFont="1" applyFill="1" applyBorder="1" applyAlignment="1">
      <alignment horizontal="left" vertical="center"/>
    </xf>
    <xf numFmtId="0" fontId="10" fillId="0" borderId="19" xfId="0" applyFont="1" applyBorder="1" applyAlignment="1">
      <alignment horizontal="left" vertical="top" wrapText="1"/>
    </xf>
    <xf numFmtId="0" fontId="0" fillId="0" borderId="23" xfId="0" applyFont="1" applyBorder="1" applyAlignment="1">
      <alignment horizontal="left" vertical="top"/>
    </xf>
    <xf numFmtId="0" fontId="20" fillId="7" borderId="21" xfId="0" applyFont="1" applyFill="1" applyBorder="1" applyAlignment="1">
      <alignment horizontal="left" vertical="top" wrapText="1"/>
    </xf>
    <xf numFmtId="0" fontId="19" fillId="0" borderId="17" xfId="0" applyFont="1" applyBorder="1" applyAlignment="1">
      <alignment horizontal="left" vertical="top" wrapText="1"/>
    </xf>
    <xf numFmtId="0" fontId="10" fillId="0" borderId="17" xfId="0" applyFont="1" applyBorder="1" applyAlignment="1">
      <alignment horizontal="left" vertical="top" wrapText="1"/>
    </xf>
    <xf numFmtId="0" fontId="14" fillId="0" borderId="20" xfId="0" applyFont="1" applyBorder="1" applyAlignment="1">
      <alignment horizontal="left" vertical="top" wrapText="1"/>
    </xf>
    <xf numFmtId="0" fontId="1" fillId="3" borderId="34" xfId="0" applyFont="1" applyFill="1" applyBorder="1" applyAlignment="1">
      <alignment horizontal="center" vertical="center"/>
    </xf>
    <xf numFmtId="0" fontId="0" fillId="0" borderId="3" xfId="0" applyFill="1" applyBorder="1" applyAlignment="1">
      <alignment horizontal="lef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4" fillId="0" borderId="3" xfId="0" applyFont="1" applyBorder="1"/>
    <xf numFmtId="0" fontId="1" fillId="3" borderId="29" xfId="0" applyFont="1" applyFill="1" applyBorder="1" applyAlignment="1">
      <alignment horizontal="center" vertical="center"/>
    </xf>
    <xf numFmtId="0" fontId="0" fillId="2" borderId="5" xfId="0" applyFill="1" applyBorder="1" applyAlignment="1">
      <alignment horizontal="center" vertical="center"/>
    </xf>
    <xf numFmtId="0" fontId="22" fillId="8" borderId="6" xfId="0" applyFont="1" applyFill="1" applyBorder="1"/>
    <xf numFmtId="14" fontId="22" fillId="8" borderId="6" xfId="0" applyNumberFormat="1" applyFont="1" applyFill="1" applyBorder="1"/>
    <xf numFmtId="14" fontId="22" fillId="8" borderId="28" xfId="0" applyNumberFormat="1" applyFont="1" applyFill="1" applyBorder="1"/>
    <xf numFmtId="0" fontId="0" fillId="8" borderId="3" xfId="0" applyFill="1" applyBorder="1" applyAlignment="1">
      <alignment horizontal="center" vertical="center" wrapText="1"/>
    </xf>
    <xf numFmtId="0" fontId="0" fillId="8" borderId="3" xfId="0" quotePrefix="1" applyFill="1" applyBorder="1" applyAlignment="1">
      <alignment horizontal="left" vertical="top" wrapText="1"/>
    </xf>
    <xf numFmtId="0" fontId="0" fillId="8" borderId="6" xfId="0" quotePrefix="1" applyFill="1" applyBorder="1" applyAlignment="1">
      <alignment horizontal="left" vertical="top" wrapText="1"/>
    </xf>
    <xf numFmtId="0" fontId="0" fillId="8" borderId="8" xfId="0" quotePrefix="1" applyFill="1" applyBorder="1" applyAlignment="1">
      <alignment horizontal="center" vertical="center" wrapText="1"/>
    </xf>
    <xf numFmtId="0" fontId="0" fillId="8" borderId="3" xfId="0" applyFill="1" applyBorder="1" applyAlignment="1">
      <alignment horizontal="left" vertical="top" wrapText="1"/>
    </xf>
    <xf numFmtId="0" fontId="0" fillId="8" borderId="8" xfId="0" applyFill="1" applyBorder="1" applyAlignment="1">
      <alignment horizontal="left" vertical="top" wrapText="1"/>
    </xf>
    <xf numFmtId="0" fontId="0" fillId="8" borderId="6" xfId="0" applyFill="1" applyBorder="1" applyAlignment="1">
      <alignment horizontal="left" vertical="top" wrapText="1"/>
    </xf>
    <xf numFmtId="0" fontId="0" fillId="8" borderId="9" xfId="0" applyFill="1" applyBorder="1" applyAlignment="1">
      <alignment horizontal="left" vertical="top" wrapText="1"/>
    </xf>
    <xf numFmtId="0" fontId="0" fillId="8" borderId="22" xfId="0" applyFill="1" applyBorder="1" applyAlignment="1">
      <alignment horizontal="center" vertical="top"/>
    </xf>
    <xf numFmtId="0" fontId="12" fillId="8" borderId="3" xfId="0" applyFont="1" applyFill="1" applyBorder="1" applyAlignment="1">
      <alignment vertical="center" wrapText="1"/>
    </xf>
    <xf numFmtId="0" fontId="23" fillId="0" borderId="0" xfId="0" applyFont="1" applyFill="1"/>
    <xf numFmtId="0" fontId="24" fillId="10" borderId="3" xfId="0" applyFont="1" applyFill="1" applyBorder="1" applyAlignment="1">
      <alignment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39"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1"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5" xfId="0" applyFont="1" applyFill="1" applyBorder="1" applyAlignment="1">
      <alignment horizontal="left" vertical="center"/>
    </xf>
    <xf numFmtId="0" fontId="1" fillId="3" borderId="36"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2" fillId="2" borderId="0" xfId="0" applyFont="1" applyFill="1" applyBorder="1" applyAlignment="1">
      <alignment horizontal="left" vertical="center"/>
    </xf>
  </cellXfs>
  <cellStyles count="3">
    <cellStyle name="Currency" xfId="2" builtinId="4"/>
    <cellStyle name="Normal" xfId="0" builtinId="0"/>
    <cellStyle name="Note" xfId="1" builtinId="10"/>
  </cellStyles>
  <dxfs count="0"/>
  <tableStyles count="0" defaultTableStyle="TableStyleMedium2" defaultPivotStyle="PivotStyleLight16"/>
  <colors>
    <mruColors>
      <color rgb="FFCD2026"/>
      <color rgb="FFFFFF00"/>
      <color rgb="FFCC2026"/>
      <color rgb="FFCC2030"/>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14</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 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19</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 Rated Startup Cost ($/MWh) = Start-Up Cost ($/Start) /  (Days Between Outages * 24 (hrs/day) * Net Electrical 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
  <sheetViews>
    <sheetView tabSelected="1" zoomScale="86" zoomScaleNormal="86" workbookViewId="0">
      <selection activeCell="A2" sqref="A2:H2"/>
    </sheetView>
  </sheetViews>
  <sheetFormatPr defaultRowHeight="15"/>
  <cols>
    <col min="2" max="2" width="43.7109375" bestFit="1" customWidth="1"/>
    <col min="3" max="3" width="25.28515625" customWidth="1"/>
    <col min="8" max="8" width="53.140625" customWidth="1"/>
  </cols>
  <sheetData>
    <row r="1" spans="1:8" ht="18.75">
      <c r="A1" s="6" t="s">
        <v>0</v>
      </c>
      <c r="B1" s="6"/>
      <c r="C1" s="6"/>
      <c r="D1" s="6"/>
      <c r="E1" s="6"/>
      <c r="F1" s="6"/>
      <c r="G1" s="6"/>
      <c r="H1" s="6"/>
    </row>
    <row r="2" spans="1:8" ht="198.75" customHeight="1">
      <c r="A2" s="193" t="s">
        <v>341</v>
      </c>
      <c r="B2" s="194"/>
      <c r="C2" s="194"/>
      <c r="D2" s="194"/>
      <c r="E2" s="194"/>
      <c r="F2" s="194"/>
      <c r="G2" s="194"/>
      <c r="H2" s="195"/>
    </row>
    <row r="3" spans="1:8" ht="15" customHeight="1">
      <c r="A3" s="185" t="s">
        <v>323</v>
      </c>
      <c r="B3" s="186"/>
      <c r="C3" s="186"/>
      <c r="D3" s="186"/>
      <c r="E3" s="186"/>
      <c r="F3" s="186"/>
      <c r="G3" s="186"/>
      <c r="H3" s="187"/>
    </row>
    <row r="4" spans="1:8" ht="135" customHeight="1">
      <c r="A4" s="188"/>
      <c r="B4" s="189"/>
      <c r="C4" s="189"/>
      <c r="D4" s="189"/>
      <c r="E4" s="189"/>
      <c r="F4" s="189"/>
      <c r="G4" s="189"/>
      <c r="H4" s="190"/>
    </row>
    <row r="5" spans="1:8" ht="15.75" thickBot="1">
      <c r="A5" s="3"/>
      <c r="B5" s="5"/>
      <c r="D5" s="5"/>
    </row>
    <row r="6" spans="1:8">
      <c r="A6" s="14"/>
      <c r="B6" s="191" t="s">
        <v>1</v>
      </c>
      <c r="C6" s="192"/>
      <c r="D6" s="10"/>
      <c r="E6" s="10"/>
      <c r="F6" s="10"/>
      <c r="G6" s="10"/>
      <c r="H6" s="7"/>
    </row>
    <row r="7" spans="1:8">
      <c r="A7" s="13"/>
      <c r="B7" s="151" t="s">
        <v>2</v>
      </c>
      <c r="C7" s="170" t="s">
        <v>316</v>
      </c>
      <c r="D7" s="11"/>
      <c r="E7" s="11"/>
      <c r="F7" s="11"/>
      <c r="G7" s="11"/>
      <c r="H7" s="5"/>
    </row>
    <row r="8" spans="1:8">
      <c r="A8" s="13"/>
      <c r="B8" s="151" t="s">
        <v>3</v>
      </c>
      <c r="C8" s="170"/>
      <c r="D8" s="11"/>
      <c r="E8" s="11"/>
      <c r="F8" s="11"/>
      <c r="G8" s="11"/>
      <c r="H8" s="5"/>
    </row>
    <row r="9" spans="1:8">
      <c r="A9" s="13"/>
      <c r="B9" s="151" t="s">
        <v>340</v>
      </c>
      <c r="C9" s="170" t="s">
        <v>23</v>
      </c>
      <c r="D9" s="11"/>
      <c r="E9" s="11"/>
      <c r="F9" s="11"/>
      <c r="G9" s="11"/>
    </row>
    <row r="10" spans="1:8">
      <c r="A10" s="13"/>
      <c r="B10" s="151" t="s">
        <v>4</v>
      </c>
      <c r="C10" s="171">
        <v>44143</v>
      </c>
      <c r="D10" s="12"/>
      <c r="E10" s="11"/>
      <c r="F10" s="11"/>
      <c r="G10" s="11"/>
    </row>
    <row r="11" spans="1:8" ht="15.75" thickBot="1">
      <c r="A11" s="15"/>
      <c r="B11" s="154" t="s">
        <v>5</v>
      </c>
      <c r="C11" s="172">
        <v>44197</v>
      </c>
      <c r="D11" s="9"/>
      <c r="E11" s="8"/>
      <c r="F11" s="8"/>
      <c r="G11" s="8"/>
      <c r="H11" s="8"/>
    </row>
  </sheetData>
  <mergeCells count="3">
    <mergeCell ref="A3:H4"/>
    <mergeCell ref="B6:C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4"/>
  <sheetViews>
    <sheetView topLeftCell="B1" zoomScale="78" zoomScaleNormal="78" workbookViewId="0">
      <pane ySplit="1" topLeftCell="A2" activePane="bottomLeft" state="frozen"/>
      <selection pane="bottomLeft" activeCell="F18" sqref="F18:H23"/>
    </sheetView>
  </sheetViews>
  <sheetFormatPr defaultRowHeight="15"/>
  <cols>
    <col min="1" max="1" width="5.42578125" style="3" customWidth="1"/>
    <col min="2" max="2" width="28.85546875" style="5" customWidth="1"/>
    <col min="3" max="3" width="18.28515625" style="35" customWidth="1"/>
    <col min="4" max="4" width="13.28515625" style="5" customWidth="1"/>
    <col min="5" max="5" width="28.7109375" style="5" customWidth="1"/>
    <col min="6" max="6" width="23" style="35" customWidth="1"/>
    <col min="7" max="7" width="30.42578125" style="81" customWidth="1"/>
    <col min="8" max="8" width="52.5703125" style="81" customWidth="1"/>
    <col min="9" max="9" width="130.85546875" customWidth="1"/>
  </cols>
  <sheetData>
    <row r="1" spans="1:8" ht="45.75" thickBot="1">
      <c r="A1" s="16"/>
      <c r="B1" s="17" t="s">
        <v>6</v>
      </c>
      <c r="C1" s="78" t="s">
        <v>7</v>
      </c>
      <c r="D1" s="17" t="s">
        <v>8</v>
      </c>
      <c r="E1" s="122" t="s">
        <v>319</v>
      </c>
      <c r="F1" s="78" t="s">
        <v>9</v>
      </c>
      <c r="G1" s="79" t="s">
        <v>10</v>
      </c>
      <c r="H1" s="80" t="s">
        <v>11</v>
      </c>
    </row>
    <row r="2" spans="1:8" s="8" customFormat="1" ht="18.95" customHeight="1" thickBot="1">
      <c r="A2" s="146" t="s">
        <v>12</v>
      </c>
      <c r="B2" s="196" t="s">
        <v>13</v>
      </c>
      <c r="C2" s="197"/>
      <c r="D2" s="197"/>
      <c r="E2" s="197"/>
      <c r="F2" s="197"/>
      <c r="G2" s="197"/>
      <c r="H2" s="198"/>
    </row>
    <row r="3" spans="1:8" s="8" customFormat="1" ht="15.75" thickBot="1">
      <c r="A3" s="135" t="s">
        <v>14</v>
      </c>
      <c r="B3" s="136" t="s">
        <v>15</v>
      </c>
      <c r="C3" s="137" t="s">
        <v>16</v>
      </c>
      <c r="D3" s="141"/>
      <c r="E3" s="139" t="s">
        <v>17</v>
      </c>
      <c r="F3" s="143">
        <v>0</v>
      </c>
      <c r="G3" s="144" t="s">
        <v>325</v>
      </c>
      <c r="H3" s="145"/>
    </row>
    <row r="4" spans="1:8" s="101" customFormat="1" ht="15.75" thickBot="1">
      <c r="A4" s="102"/>
      <c r="C4" s="103"/>
      <c r="D4" s="116"/>
      <c r="E4" s="116"/>
    </row>
    <row r="5" spans="1:8" s="8" customFormat="1" ht="18.95" customHeight="1">
      <c r="A5" s="168" t="s">
        <v>18</v>
      </c>
      <c r="B5" s="202" t="s">
        <v>19</v>
      </c>
      <c r="C5" s="202"/>
      <c r="D5" s="202"/>
      <c r="E5" s="202"/>
      <c r="F5" s="202"/>
      <c r="G5" s="202"/>
      <c r="H5" s="203"/>
    </row>
    <row r="6" spans="1:8" s="8" customFormat="1">
      <c r="A6" s="169" t="s">
        <v>20</v>
      </c>
      <c r="B6" s="121" t="s">
        <v>21</v>
      </c>
      <c r="C6" s="84" t="s">
        <v>22</v>
      </c>
      <c r="D6" s="138" t="s">
        <v>23</v>
      </c>
      <c r="E6" s="139" t="s">
        <v>17</v>
      </c>
      <c r="F6" s="173">
        <v>0</v>
      </c>
      <c r="G6" s="174" t="s">
        <v>325</v>
      </c>
      <c r="H6" s="175"/>
    </row>
    <row r="7" spans="1:8" s="8" customFormat="1">
      <c r="A7" s="169" t="s">
        <v>24</v>
      </c>
      <c r="B7" s="167" t="s">
        <v>25</v>
      </c>
      <c r="C7" s="84" t="s">
        <v>26</v>
      </c>
      <c r="D7" s="138" t="s">
        <v>23</v>
      </c>
      <c r="E7" s="139" t="s">
        <v>17</v>
      </c>
      <c r="F7" s="173">
        <v>0</v>
      </c>
      <c r="G7" s="174" t="s">
        <v>325</v>
      </c>
      <c r="H7" s="175"/>
    </row>
    <row r="8" spans="1:8" s="8" customFormat="1">
      <c r="A8" s="169" t="s">
        <v>27</v>
      </c>
      <c r="B8" s="121" t="s">
        <v>28</v>
      </c>
      <c r="C8" s="84" t="s">
        <v>22</v>
      </c>
      <c r="D8" s="138" t="s">
        <v>23</v>
      </c>
      <c r="E8" s="139" t="s">
        <v>17</v>
      </c>
      <c r="F8" s="173">
        <v>0</v>
      </c>
      <c r="G8" s="174" t="s">
        <v>325</v>
      </c>
      <c r="H8" s="175"/>
    </row>
    <row r="9" spans="1:8" s="8" customFormat="1" ht="15.75" thickBot="1">
      <c r="A9" s="123" t="s">
        <v>29</v>
      </c>
      <c r="B9" s="124" t="s">
        <v>30</v>
      </c>
      <c r="C9" s="104" t="s">
        <v>22</v>
      </c>
      <c r="D9" s="141" t="s">
        <v>23</v>
      </c>
      <c r="E9" s="140" t="s">
        <v>17</v>
      </c>
      <c r="F9" s="176">
        <v>0</v>
      </c>
      <c r="G9" s="174" t="s">
        <v>325</v>
      </c>
      <c r="H9" s="145"/>
    </row>
    <row r="10" spans="1:8" s="101" customFormat="1" ht="15.75" thickBot="1">
      <c r="A10" s="102"/>
      <c r="C10" s="103"/>
      <c r="D10" s="116"/>
      <c r="E10" s="116"/>
    </row>
    <row r="11" spans="1:8" ht="42.75" customHeight="1">
      <c r="A11" s="147" t="s">
        <v>31</v>
      </c>
      <c r="B11" s="199" t="s">
        <v>32</v>
      </c>
      <c r="C11" s="200"/>
      <c r="D11" s="200"/>
      <c r="E11" s="200"/>
      <c r="F11" s="200"/>
      <c r="G11" s="200"/>
      <c r="H11" s="201"/>
    </row>
    <row r="12" spans="1:8" ht="66.95" customHeight="1">
      <c r="A12" s="134" t="s">
        <v>33</v>
      </c>
      <c r="B12" s="90" t="s">
        <v>34</v>
      </c>
      <c r="C12" s="125" t="s">
        <v>35</v>
      </c>
      <c r="D12" s="138" t="s">
        <v>23</v>
      </c>
      <c r="E12" s="139" t="s">
        <v>17</v>
      </c>
      <c r="F12" s="173">
        <v>0</v>
      </c>
      <c r="G12" s="177" t="s">
        <v>325</v>
      </c>
      <c r="H12" s="175" t="s">
        <v>325</v>
      </c>
    </row>
    <row r="13" spans="1:8" ht="66.95" customHeight="1">
      <c r="A13" s="134" t="s">
        <v>36</v>
      </c>
      <c r="B13" s="90" t="s">
        <v>37</v>
      </c>
      <c r="C13" s="125" t="s">
        <v>35</v>
      </c>
      <c r="D13" s="138" t="s">
        <v>23</v>
      </c>
      <c r="E13" s="139" t="s">
        <v>17</v>
      </c>
      <c r="F13" s="173">
        <v>0</v>
      </c>
      <c r="G13" s="177" t="s">
        <v>325</v>
      </c>
      <c r="H13" s="175" t="s">
        <v>325</v>
      </c>
    </row>
    <row r="14" spans="1:8" ht="66.95" customHeight="1">
      <c r="A14" s="134" t="s">
        <v>38</v>
      </c>
      <c r="B14" s="90" t="s">
        <v>39</v>
      </c>
      <c r="C14" s="125" t="s">
        <v>35</v>
      </c>
      <c r="D14" s="138" t="s">
        <v>23</v>
      </c>
      <c r="E14" s="139" t="s">
        <v>17</v>
      </c>
      <c r="F14" s="173">
        <v>0</v>
      </c>
      <c r="G14" s="177" t="s">
        <v>325</v>
      </c>
      <c r="H14" s="175" t="s">
        <v>325</v>
      </c>
    </row>
    <row r="15" spans="1:8" ht="66.95" customHeight="1" thickBot="1">
      <c r="A15" s="129" t="s">
        <v>40</v>
      </c>
      <c r="B15" s="130" t="s">
        <v>41</v>
      </c>
      <c r="C15" s="115" t="s">
        <v>35</v>
      </c>
      <c r="D15" s="141" t="s">
        <v>23</v>
      </c>
      <c r="E15" s="140" t="s">
        <v>17</v>
      </c>
      <c r="F15" s="143">
        <v>0</v>
      </c>
      <c r="G15" s="178" t="s">
        <v>325</v>
      </c>
      <c r="H15" s="145" t="s">
        <v>325</v>
      </c>
    </row>
    <row r="16" spans="1:8" ht="15.75" thickBot="1">
      <c r="A16" s="105"/>
      <c r="B16" s="106"/>
      <c r="C16" s="107"/>
      <c r="D16" s="108"/>
      <c r="E16" s="109"/>
      <c r="F16" s="109"/>
      <c r="G16" s="97"/>
      <c r="H16" s="110"/>
    </row>
    <row r="17" spans="1:8">
      <c r="A17" s="161" t="s">
        <v>42</v>
      </c>
      <c r="B17" s="196" t="s">
        <v>43</v>
      </c>
      <c r="C17" s="197"/>
      <c r="D17" s="197"/>
      <c r="E17" s="197"/>
      <c r="F17" s="197"/>
      <c r="G17" s="197"/>
      <c r="H17" s="198"/>
    </row>
    <row r="18" spans="1:8">
      <c r="A18" s="163" t="s">
        <v>44</v>
      </c>
      <c r="B18" s="162" t="s">
        <v>45</v>
      </c>
      <c r="C18" s="139" t="s">
        <v>46</v>
      </c>
      <c r="D18" s="26" t="s">
        <v>23</v>
      </c>
      <c r="E18" s="139" t="s">
        <v>17</v>
      </c>
      <c r="F18" s="173">
        <v>0</v>
      </c>
      <c r="G18" s="177" t="s">
        <v>325</v>
      </c>
      <c r="H18" s="179" t="s">
        <v>325</v>
      </c>
    </row>
    <row r="19" spans="1:8">
      <c r="A19" s="163" t="s">
        <v>47</v>
      </c>
      <c r="B19" s="162" t="s">
        <v>48</v>
      </c>
      <c r="C19" s="139" t="s">
        <v>49</v>
      </c>
      <c r="D19" s="26" t="s">
        <v>23</v>
      </c>
      <c r="E19" s="139" t="s">
        <v>17</v>
      </c>
      <c r="F19" s="173">
        <v>0</v>
      </c>
      <c r="G19" s="177" t="s">
        <v>325</v>
      </c>
      <c r="H19" s="179" t="s">
        <v>325</v>
      </c>
    </row>
    <row r="20" spans="1:8">
      <c r="A20" s="163" t="s">
        <v>50</v>
      </c>
      <c r="B20" s="162" t="s">
        <v>51</v>
      </c>
      <c r="C20" s="139" t="s">
        <v>52</v>
      </c>
      <c r="D20" s="26" t="s">
        <v>23</v>
      </c>
      <c r="E20" s="139" t="s">
        <v>17</v>
      </c>
      <c r="F20" s="173">
        <v>0</v>
      </c>
      <c r="G20" s="177" t="s">
        <v>325</v>
      </c>
      <c r="H20" s="179" t="s">
        <v>325</v>
      </c>
    </row>
    <row r="21" spans="1:8">
      <c r="A21" s="163" t="s">
        <v>274</v>
      </c>
      <c r="B21" s="119" t="s">
        <v>275</v>
      </c>
      <c r="C21" s="139" t="s">
        <v>321</v>
      </c>
      <c r="D21" s="26" t="s">
        <v>23</v>
      </c>
      <c r="E21" s="139" t="s">
        <v>17</v>
      </c>
      <c r="F21" s="173">
        <v>0</v>
      </c>
      <c r="G21" s="177" t="s">
        <v>325</v>
      </c>
      <c r="H21" s="179" t="s">
        <v>325</v>
      </c>
    </row>
    <row r="22" spans="1:8">
      <c r="A22" s="163" t="s">
        <v>276</v>
      </c>
      <c r="B22" s="119" t="s">
        <v>277</v>
      </c>
      <c r="C22" s="139" t="s">
        <v>322</v>
      </c>
      <c r="D22" s="26" t="s">
        <v>23</v>
      </c>
      <c r="E22" s="139" t="s">
        <v>17</v>
      </c>
      <c r="F22" s="173">
        <v>0</v>
      </c>
      <c r="G22" s="177" t="s">
        <v>325</v>
      </c>
      <c r="H22" s="179" t="s">
        <v>325</v>
      </c>
    </row>
    <row r="23" spans="1:8" ht="15.75" thickBot="1">
      <c r="A23" s="164" t="s">
        <v>53</v>
      </c>
      <c r="B23" s="165" t="s">
        <v>54</v>
      </c>
      <c r="C23" s="140" t="s">
        <v>35</v>
      </c>
      <c r="D23" s="166" t="s">
        <v>23</v>
      </c>
      <c r="E23" s="140" t="s">
        <v>17</v>
      </c>
      <c r="F23" s="143">
        <v>0</v>
      </c>
      <c r="G23" s="178" t="s">
        <v>325</v>
      </c>
      <c r="H23" s="180" t="s">
        <v>325</v>
      </c>
    </row>
    <row r="24" spans="1:8">
      <c r="D24" s="142"/>
      <c r="E24" s="142"/>
    </row>
  </sheetData>
  <autoFilter ref="B1:H1"/>
  <mergeCells count="4">
    <mergeCell ref="B17:H17"/>
    <mergeCell ref="B11:H11"/>
    <mergeCell ref="B5:H5"/>
    <mergeCell ref="B2:H2"/>
  </mergeCells>
  <phoneticPr fontId="17"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29" customWidth="1"/>
    <col min="2" max="2" width="17.5703125" style="35" customWidth="1"/>
    <col min="3" max="3" width="41.28515625" style="3" customWidth="1"/>
    <col min="4" max="4" width="56.42578125" customWidth="1"/>
    <col min="5" max="5" width="57.5703125" customWidth="1"/>
    <col min="6" max="6" width="33.85546875" customWidth="1"/>
    <col min="8" max="8" width="12" customWidth="1"/>
  </cols>
  <sheetData>
    <row r="1" spans="1:6">
      <c r="A1" s="28" t="s">
        <v>55</v>
      </c>
      <c r="B1" s="34" t="s">
        <v>56</v>
      </c>
      <c r="C1" s="33" t="s">
        <v>57</v>
      </c>
      <c r="D1" s="30" t="s">
        <v>58</v>
      </c>
      <c r="E1" s="30" t="s">
        <v>59</v>
      </c>
      <c r="F1" s="30" t="s">
        <v>60</v>
      </c>
    </row>
    <row r="2" spans="1:6">
      <c r="A2" s="31" t="s">
        <v>61</v>
      </c>
      <c r="B2" s="34"/>
      <c r="C2" s="33"/>
      <c r="D2" s="30"/>
      <c r="E2" s="30"/>
      <c r="F2" s="30"/>
    </row>
    <row r="3" spans="1:6">
      <c r="A3" s="31" t="s">
        <v>62</v>
      </c>
      <c r="B3" s="34"/>
      <c r="C3" s="33"/>
      <c r="D3" s="30"/>
      <c r="E3" s="30"/>
      <c r="F3" s="30"/>
    </row>
    <row r="4" spans="1:6">
      <c r="A4" s="31" t="s">
        <v>63</v>
      </c>
      <c r="B4" s="34"/>
      <c r="C4" s="33"/>
      <c r="D4" s="30">
        <f>(E60*E41*E37)+(E61*E68)+E63+E64</f>
        <v>0</v>
      </c>
      <c r="E4" s="30"/>
      <c r="F4" s="30"/>
    </row>
    <row r="5" spans="1:6">
      <c r="A5" s="31"/>
      <c r="B5" s="34"/>
      <c r="C5" s="33"/>
      <c r="D5" s="30"/>
      <c r="E5" s="30"/>
      <c r="F5" s="30"/>
    </row>
    <row r="6" spans="1:6">
      <c r="A6" s="31" t="s">
        <v>64</v>
      </c>
      <c r="B6" s="34"/>
      <c r="C6" s="33"/>
      <c r="D6" s="30"/>
      <c r="E6" s="30"/>
      <c r="F6" s="30"/>
    </row>
    <row r="7" spans="1:6">
      <c r="A7" s="38" t="s">
        <v>65</v>
      </c>
      <c r="B7" s="39">
        <v>2717</v>
      </c>
      <c r="C7" s="33" t="s">
        <v>66</v>
      </c>
      <c r="D7" s="30"/>
      <c r="E7" s="30"/>
      <c r="F7" s="30"/>
    </row>
    <row r="8" spans="1:6">
      <c r="A8" s="38" t="s">
        <v>67</v>
      </c>
      <c r="B8" s="39">
        <v>945</v>
      </c>
      <c r="C8" s="33" t="s">
        <v>68</v>
      </c>
      <c r="D8" s="30"/>
      <c r="E8" s="30"/>
      <c r="F8" s="30"/>
    </row>
    <row r="9" spans="1:6">
      <c r="A9" s="38" t="s">
        <v>69</v>
      </c>
      <c r="B9" s="39">
        <v>55</v>
      </c>
      <c r="C9" s="33" t="s">
        <v>68</v>
      </c>
      <c r="D9" s="30"/>
      <c r="E9" s="30"/>
      <c r="F9" s="30"/>
    </row>
    <row r="10" spans="1:6">
      <c r="A10" s="38" t="s">
        <v>70</v>
      </c>
      <c r="B10" s="39">
        <f>B8-B9</f>
        <v>890</v>
      </c>
      <c r="C10" s="33" t="s">
        <v>68</v>
      </c>
      <c r="D10" s="30"/>
      <c r="E10" s="30"/>
      <c r="F10" s="30"/>
    </row>
    <row r="11" spans="1:6">
      <c r="A11" s="38" t="s">
        <v>71</v>
      </c>
      <c r="B11" s="40">
        <f>(B8-B9)/B7</f>
        <v>0.32756716967243282</v>
      </c>
      <c r="C11" s="33" t="s">
        <v>72</v>
      </c>
      <c r="D11" s="30"/>
      <c r="E11" s="30"/>
      <c r="F11" s="30"/>
    </row>
    <row r="12" spans="1:6">
      <c r="A12" s="38" t="s">
        <v>73</v>
      </c>
      <c r="B12" s="41">
        <v>0.93</v>
      </c>
      <c r="C12" s="33" t="s">
        <v>74</v>
      </c>
      <c r="D12" s="30"/>
      <c r="E12" s="30"/>
      <c r="F12" s="30"/>
    </row>
    <row r="13" spans="1:6">
      <c r="A13" s="42" t="s">
        <v>75</v>
      </c>
      <c r="B13" s="43">
        <f>B12*B7</f>
        <v>2526.81</v>
      </c>
      <c r="C13" s="33" t="s">
        <v>66</v>
      </c>
      <c r="D13" s="30"/>
      <c r="E13" s="30"/>
      <c r="F13" s="30"/>
    </row>
    <row r="14" spans="1:6">
      <c r="A14" s="42" t="s">
        <v>76</v>
      </c>
      <c r="B14" s="43">
        <f>B8*B12</f>
        <v>878.85</v>
      </c>
      <c r="C14" s="33" t="s">
        <v>68</v>
      </c>
      <c r="D14" s="30"/>
      <c r="E14" s="30"/>
      <c r="F14" s="30"/>
    </row>
    <row r="15" spans="1:6">
      <c r="A15" s="42" t="s">
        <v>77</v>
      </c>
      <c r="B15" s="43">
        <f>B14-B9</f>
        <v>823.85</v>
      </c>
      <c r="C15" s="33" t="s">
        <v>78</v>
      </c>
      <c r="D15" s="30"/>
      <c r="E15" s="30"/>
      <c r="F15" s="30"/>
    </row>
    <row r="16" spans="1:6">
      <c r="A16" s="38" t="s">
        <v>79</v>
      </c>
      <c r="B16" s="41">
        <v>0.9</v>
      </c>
      <c r="C16" s="33" t="s">
        <v>80</v>
      </c>
      <c r="D16" s="30"/>
      <c r="E16" s="30"/>
      <c r="F16" s="30"/>
    </row>
    <row r="17" spans="1:7">
      <c r="A17" s="44" t="s">
        <v>81</v>
      </c>
      <c r="B17" s="45">
        <f>B15*365*24*B16/1000</f>
        <v>6495.2334000000001</v>
      </c>
      <c r="C17" s="3" t="s">
        <v>82</v>
      </c>
      <c r="D17" s="30"/>
      <c r="E17" s="30"/>
      <c r="F17" s="30"/>
    </row>
    <row r="18" spans="1:7">
      <c r="A18" s="44"/>
      <c r="B18" s="58"/>
      <c r="D18" s="30"/>
      <c r="E18" s="30"/>
      <c r="F18" s="30"/>
    </row>
    <row r="19" spans="1:7">
      <c r="A19" s="32" t="s">
        <v>83</v>
      </c>
      <c r="B19" s="45">
        <v>65</v>
      </c>
      <c r="C19" s="3" t="s">
        <v>84</v>
      </c>
      <c r="D19" s="30"/>
      <c r="E19" s="30"/>
      <c r="F19" s="30"/>
    </row>
    <row r="20" spans="1:7">
      <c r="A20" s="44"/>
      <c r="B20" s="45"/>
      <c r="D20" s="30"/>
      <c r="E20" s="30"/>
      <c r="F20" s="30"/>
    </row>
    <row r="21" spans="1:7">
      <c r="A21" s="44"/>
      <c r="B21" s="45"/>
      <c r="D21" s="30"/>
      <c r="E21" s="30"/>
      <c r="F21" s="30"/>
    </row>
    <row r="22" spans="1:7">
      <c r="A22" s="32" t="s">
        <v>85</v>
      </c>
      <c r="B22" s="45" t="s">
        <v>66</v>
      </c>
      <c r="C22" s="3" t="s">
        <v>78</v>
      </c>
      <c r="D22" s="30"/>
      <c r="E22" s="30"/>
      <c r="F22" s="30"/>
    </row>
    <row r="23" spans="1:7">
      <c r="A23" s="49">
        <v>1</v>
      </c>
      <c r="B23" s="45">
        <v>2717</v>
      </c>
      <c r="C23" s="3">
        <v>945</v>
      </c>
      <c r="D23" s="30"/>
      <c r="E23" s="30"/>
      <c r="F23" s="30"/>
    </row>
    <row r="24" spans="1:7">
      <c r="A24" s="49">
        <v>0.9</v>
      </c>
      <c r="B24" s="45">
        <v>2445.3000000000002</v>
      </c>
      <c r="C24" s="3">
        <v>851</v>
      </c>
      <c r="D24" s="30"/>
      <c r="E24" s="30"/>
      <c r="F24" s="30"/>
    </row>
    <row r="25" spans="1:7">
      <c r="A25" s="49">
        <v>0.75</v>
      </c>
      <c r="B25" s="45">
        <v>2037.7</v>
      </c>
      <c r="C25" s="3">
        <v>709</v>
      </c>
      <c r="D25" s="30"/>
      <c r="E25" s="30"/>
      <c r="F25" s="30"/>
    </row>
    <row r="26" spans="1:7">
      <c r="A26" s="49">
        <v>0.5</v>
      </c>
      <c r="B26" s="45">
        <v>1358</v>
      </c>
      <c r="C26" s="3">
        <v>453</v>
      </c>
      <c r="D26" s="30"/>
      <c r="E26" s="30"/>
      <c r="F26" s="30"/>
    </row>
    <row r="27" spans="1:7">
      <c r="A27" s="49">
        <v>0.25</v>
      </c>
      <c r="B27" s="45">
        <v>679</v>
      </c>
      <c r="C27" s="3">
        <v>194</v>
      </c>
      <c r="D27" s="30"/>
      <c r="E27" s="30"/>
      <c r="F27" s="30"/>
    </row>
    <row r="28" spans="1:7">
      <c r="A28" s="44"/>
      <c r="B28" s="45"/>
      <c r="D28" s="30"/>
      <c r="E28" s="30"/>
      <c r="F28" s="30"/>
    </row>
    <row r="29" spans="1:7">
      <c r="A29" s="32" t="s">
        <v>86</v>
      </c>
      <c r="B29" s="39"/>
      <c r="D29" s="30"/>
      <c r="E29" s="30"/>
      <c r="F29" s="30"/>
    </row>
    <row r="30" spans="1:7">
      <c r="A30" s="51" t="s">
        <v>87</v>
      </c>
      <c r="B30" s="39"/>
      <c r="E30" s="30" t="s">
        <v>88</v>
      </c>
      <c r="G30" s="30" t="s">
        <v>89</v>
      </c>
    </row>
    <row r="31" spans="1:7">
      <c r="A31" s="47" t="s">
        <v>90</v>
      </c>
      <c r="B31" s="40">
        <v>0.05</v>
      </c>
      <c r="C31" s="3" t="s">
        <v>74</v>
      </c>
      <c r="E31" s="30">
        <f>B31*$B$7</f>
        <v>135.85</v>
      </c>
      <c r="F31" s="30">
        <v>50</v>
      </c>
      <c r="G31" s="30" t="s">
        <v>68</v>
      </c>
    </row>
    <row r="32" spans="1:7">
      <c r="A32" s="42" t="s">
        <v>91</v>
      </c>
      <c r="B32" s="39">
        <v>36</v>
      </c>
      <c r="C32" s="3" t="s">
        <v>92</v>
      </c>
      <c r="E32" s="30">
        <f>E31*B32</f>
        <v>4890.5999999999995</v>
      </c>
      <c r="F32" s="30">
        <f>F31*B32</f>
        <v>1800</v>
      </c>
      <c r="G32" s="30" t="s">
        <v>93</v>
      </c>
    </row>
    <row r="33" spans="1:8">
      <c r="A33" s="38" t="s">
        <v>94</v>
      </c>
      <c r="B33" s="40">
        <v>0.3</v>
      </c>
      <c r="C33" s="3" t="s">
        <v>74</v>
      </c>
      <c r="E33" s="30">
        <f>B33*$B$7</f>
        <v>815.1</v>
      </c>
      <c r="F33" s="30">
        <v>50</v>
      </c>
      <c r="G33" s="30" t="s">
        <v>68</v>
      </c>
    </row>
    <row r="34" spans="1:8">
      <c r="A34" s="42" t="s">
        <v>95</v>
      </c>
      <c r="B34" s="39">
        <v>36</v>
      </c>
      <c r="C34" s="3" t="s">
        <v>92</v>
      </c>
      <c r="E34" s="30">
        <f>E33*B34</f>
        <v>29343.600000000002</v>
      </c>
      <c r="F34" s="30">
        <f>F33*B34</f>
        <v>1800</v>
      </c>
      <c r="G34" s="30" t="s">
        <v>93</v>
      </c>
    </row>
    <row r="35" spans="1:8">
      <c r="A35" s="47" t="s">
        <v>96</v>
      </c>
      <c r="B35" s="40">
        <v>0.3</v>
      </c>
      <c r="C35" s="3" t="s">
        <v>74</v>
      </c>
      <c r="E35" s="30"/>
      <c r="F35" s="30">
        <v>50</v>
      </c>
      <c r="G35" s="30" t="s">
        <v>68</v>
      </c>
    </row>
    <row r="36" spans="1:8">
      <c r="A36" s="48" t="s">
        <v>97</v>
      </c>
      <c r="B36" s="39">
        <f>0.5*B34</f>
        <v>18</v>
      </c>
      <c r="C36" s="3" t="s">
        <v>92</v>
      </c>
      <c r="E36" s="30"/>
      <c r="F36" s="30">
        <f>B36*F35</f>
        <v>900</v>
      </c>
      <c r="G36" s="30">
        <f>F36+F34+F32</f>
        <v>4500</v>
      </c>
      <c r="H36" t="s">
        <v>93</v>
      </c>
    </row>
    <row r="37" spans="1:8">
      <c r="A37" s="38" t="s">
        <v>98</v>
      </c>
      <c r="B37" s="40">
        <v>0.7</v>
      </c>
      <c r="C37" s="3" t="s">
        <v>74</v>
      </c>
      <c r="E37" s="30">
        <f>B37*$B$7</f>
        <v>1901.8999999999999</v>
      </c>
      <c r="F37" s="30"/>
      <c r="G37" s="52">
        <f>B19</f>
        <v>65</v>
      </c>
      <c r="H37" t="s">
        <v>99</v>
      </c>
    </row>
    <row r="38" spans="1:8">
      <c r="A38" s="42" t="s">
        <v>95</v>
      </c>
      <c r="B38" s="39">
        <v>36</v>
      </c>
      <c r="C38" s="3" t="s">
        <v>92</v>
      </c>
      <c r="E38" s="30">
        <f>E37*B38</f>
        <v>68468.399999999994</v>
      </c>
      <c r="F38" s="30"/>
      <c r="G38" s="83">
        <f>G36*G37</f>
        <v>292500</v>
      </c>
      <c r="H38" t="s">
        <v>100</v>
      </c>
    </row>
    <row r="39" spans="1:8">
      <c r="A39" s="38" t="s">
        <v>101</v>
      </c>
      <c r="B39" s="40">
        <v>0.85</v>
      </c>
      <c r="C39" s="3" t="s">
        <v>74</v>
      </c>
      <c r="E39" s="30">
        <f>B39*$B$7</f>
        <v>2309.4499999999998</v>
      </c>
      <c r="F39" s="30"/>
      <c r="G39" s="30"/>
    </row>
    <row r="40" spans="1:8">
      <c r="A40" s="42" t="s">
        <v>95</v>
      </c>
      <c r="B40" s="39">
        <v>36</v>
      </c>
      <c r="C40" s="3" t="s">
        <v>92</v>
      </c>
      <c r="E40" s="30">
        <f>E39*B40</f>
        <v>83140.2</v>
      </c>
      <c r="F40" s="30"/>
      <c r="G40" s="30"/>
    </row>
    <row r="41" spans="1:8">
      <c r="A41" s="38" t="s">
        <v>102</v>
      </c>
      <c r="B41" s="40">
        <v>0.88</v>
      </c>
      <c r="C41" s="3" t="s">
        <v>74</v>
      </c>
      <c r="E41" s="30">
        <f>B41*$B$7</f>
        <v>2390.96</v>
      </c>
      <c r="F41" s="30"/>
      <c r="G41" s="30"/>
    </row>
    <row r="42" spans="1:8">
      <c r="A42" s="42" t="s">
        <v>95</v>
      </c>
      <c r="B42" s="39">
        <v>36</v>
      </c>
      <c r="C42" s="3" t="s">
        <v>92</v>
      </c>
      <c r="E42" s="30">
        <f>E41*B42</f>
        <v>86074.559999999998</v>
      </c>
      <c r="F42" s="30"/>
      <c r="G42" s="30"/>
    </row>
    <row r="43" spans="1:8">
      <c r="A43" s="38" t="s">
        <v>103</v>
      </c>
      <c r="B43" s="40">
        <v>0.89</v>
      </c>
      <c r="C43" s="3" t="s">
        <v>74</v>
      </c>
      <c r="E43" s="30">
        <f>B43*$B$7</f>
        <v>2418.13</v>
      </c>
      <c r="F43" s="30"/>
      <c r="G43" s="30"/>
    </row>
    <row r="44" spans="1:8">
      <c r="A44" s="42" t="s">
        <v>95</v>
      </c>
      <c r="B44" s="39">
        <v>36</v>
      </c>
      <c r="C44" s="3" t="s">
        <v>92</v>
      </c>
      <c r="E44" s="30">
        <f>E43*B44</f>
        <v>87052.680000000008</v>
      </c>
      <c r="F44" s="30"/>
      <c r="G44" s="30"/>
    </row>
    <row r="45" spans="1:8">
      <c r="A45" s="38" t="s">
        <v>104</v>
      </c>
      <c r="B45" s="40">
        <v>0.9</v>
      </c>
      <c r="C45" s="3" t="s">
        <v>105</v>
      </c>
      <c r="E45" s="30">
        <f>B45*$B$7</f>
        <v>2445.3000000000002</v>
      </c>
      <c r="F45" s="30"/>
      <c r="G45" s="30"/>
    </row>
    <row r="46" spans="1:8">
      <c r="A46" s="42" t="s">
        <v>95</v>
      </c>
      <c r="B46" s="39">
        <v>36</v>
      </c>
      <c r="C46" s="3" t="s">
        <v>92</v>
      </c>
      <c r="E46" s="30">
        <f>E45*B46</f>
        <v>88030.8</v>
      </c>
      <c r="F46" s="30"/>
      <c r="G46" s="30"/>
    </row>
    <row r="47" spans="1:8">
      <c r="A47" s="55" t="s">
        <v>106</v>
      </c>
      <c r="B47" s="39">
        <f>B46+B44+B42+B40+B38+B34+B32</f>
        <v>252</v>
      </c>
      <c r="C47" s="3" t="s">
        <v>92</v>
      </c>
      <c r="E47" s="30"/>
      <c r="F47" s="30"/>
      <c r="G47" s="30"/>
    </row>
    <row r="48" spans="1:8">
      <c r="B48" s="39"/>
      <c r="E48" s="50">
        <f>E32+E34+E38+E40+E42+E44+E46</f>
        <v>447000.83999999997</v>
      </c>
      <c r="F48" s="30" t="s">
        <v>107</v>
      </c>
      <c r="G48" s="30"/>
    </row>
    <row r="49" spans="1:7">
      <c r="A49" s="32" t="s">
        <v>108</v>
      </c>
      <c r="B49" s="39">
        <v>1</v>
      </c>
      <c r="C49" s="3" t="s">
        <v>109</v>
      </c>
      <c r="E49" s="50">
        <f>E48/B68</f>
        <v>2377.6640425531914</v>
      </c>
      <c r="F49" s="30" t="s">
        <v>110</v>
      </c>
      <c r="G49" s="30"/>
    </row>
    <row r="50" spans="1:7">
      <c r="A50" s="38" t="s">
        <v>111</v>
      </c>
      <c r="B50" s="40">
        <v>0.6</v>
      </c>
      <c r="C50" s="3" t="s">
        <v>74</v>
      </c>
      <c r="E50" s="82">
        <f>E49/B65</f>
        <v>124.48502840592624</v>
      </c>
      <c r="F50" s="30" t="s">
        <v>112</v>
      </c>
      <c r="G50" s="30"/>
    </row>
    <row r="51" spans="1:7">
      <c r="A51" s="38" t="s">
        <v>95</v>
      </c>
      <c r="B51" s="39">
        <v>48</v>
      </c>
      <c r="C51" s="3" t="s">
        <v>92</v>
      </c>
      <c r="D51" s="30"/>
      <c r="E51" s="30">
        <f>E33/B68</f>
        <v>4.3356382978723405</v>
      </c>
      <c r="F51" s="30" t="s">
        <v>113</v>
      </c>
    </row>
    <row r="52" spans="1:7">
      <c r="A52" s="38" t="s">
        <v>114</v>
      </c>
      <c r="B52" s="39">
        <f>B50*B7</f>
        <v>1630.2</v>
      </c>
      <c r="C52" s="3" t="s">
        <v>66</v>
      </c>
      <c r="D52" s="30"/>
      <c r="E52" s="30"/>
      <c r="F52" s="30"/>
    </row>
    <row r="53" spans="1:7">
      <c r="A53" s="38" t="s">
        <v>115</v>
      </c>
      <c r="B53" s="39">
        <f>B52*B11</f>
        <v>534</v>
      </c>
      <c r="C53" s="3" t="s">
        <v>78</v>
      </c>
      <c r="D53" s="30"/>
      <c r="E53" s="30"/>
      <c r="F53" s="30"/>
    </row>
    <row r="54" spans="1:7">
      <c r="A54" s="44"/>
      <c r="B54" s="39"/>
      <c r="D54" s="30"/>
      <c r="E54" s="30"/>
      <c r="F54" s="30"/>
    </row>
    <row r="55" spans="1:7">
      <c r="A55" s="32" t="s">
        <v>116</v>
      </c>
      <c r="B55" s="39"/>
      <c r="C55" s="3" t="s">
        <v>109</v>
      </c>
      <c r="D55" s="30"/>
      <c r="E55" s="30"/>
      <c r="F55" s="30"/>
    </row>
    <row r="56" spans="1:7">
      <c r="A56" s="38" t="s">
        <v>117</v>
      </c>
      <c r="B56" s="40">
        <v>0.93</v>
      </c>
      <c r="C56" s="3" t="s">
        <v>74</v>
      </c>
      <c r="D56" s="30"/>
      <c r="E56" s="30"/>
      <c r="F56" s="30"/>
    </row>
    <row r="57" spans="1:7">
      <c r="A57" s="38" t="s">
        <v>95</v>
      </c>
      <c r="B57" s="39">
        <v>48</v>
      </c>
      <c r="C57" s="3" t="s">
        <v>118</v>
      </c>
      <c r="D57" s="30"/>
      <c r="E57" s="30"/>
      <c r="F57" s="30"/>
    </row>
    <row r="58" spans="1:7">
      <c r="A58" s="38" t="s">
        <v>114</v>
      </c>
      <c r="B58" s="43">
        <f>B13</f>
        <v>2526.81</v>
      </c>
      <c r="C58" s="3" t="s">
        <v>66</v>
      </c>
      <c r="D58" s="30"/>
      <c r="E58" s="30"/>
      <c r="F58" s="30"/>
    </row>
    <row r="59" spans="1:7">
      <c r="A59" s="38" t="s">
        <v>115</v>
      </c>
      <c r="B59" s="39">
        <v>400</v>
      </c>
      <c r="C59" s="3" t="s">
        <v>78</v>
      </c>
      <c r="D59" s="30"/>
      <c r="E59" s="30"/>
      <c r="F59" s="30"/>
    </row>
    <row r="60" spans="1:7">
      <c r="A60" s="44"/>
      <c r="B60" s="39"/>
      <c r="D60" s="30"/>
      <c r="E60" s="30"/>
      <c r="F60" s="30"/>
    </row>
    <row r="61" spans="1:7">
      <c r="A61" s="32" t="s">
        <v>119</v>
      </c>
      <c r="B61" s="39"/>
      <c r="D61" s="30"/>
      <c r="E61" s="30"/>
      <c r="F61" s="30"/>
    </row>
    <row r="62" spans="1:7">
      <c r="A62" s="38" t="s">
        <v>120</v>
      </c>
      <c r="B62" s="39">
        <v>480</v>
      </c>
      <c r="C62" s="33"/>
      <c r="D62" s="30"/>
      <c r="E62" s="30"/>
      <c r="F62" s="30"/>
    </row>
    <row r="63" spans="1:7">
      <c r="A63" s="38" t="s">
        <v>121</v>
      </c>
      <c r="B63" s="39">
        <v>12</v>
      </c>
      <c r="C63" s="33"/>
      <c r="D63" s="30"/>
      <c r="E63" s="30"/>
      <c r="F63" s="30"/>
    </row>
    <row r="64" spans="1:7">
      <c r="A64" s="38" t="s">
        <v>122</v>
      </c>
      <c r="B64" s="43">
        <f>B7/(B62*B63)*1000</f>
        <v>471.70138888888891</v>
      </c>
      <c r="C64" s="33" t="s">
        <v>123</v>
      </c>
      <c r="D64" s="30"/>
      <c r="E64" s="30"/>
      <c r="F64" s="30"/>
    </row>
    <row r="65" spans="1:6">
      <c r="A65" s="38" t="s">
        <v>124</v>
      </c>
      <c r="B65" s="39">
        <v>19.100000000000001</v>
      </c>
      <c r="C65" s="33" t="s">
        <v>125</v>
      </c>
      <c r="D65" s="30"/>
      <c r="E65" s="30"/>
      <c r="F65" s="30"/>
    </row>
    <row r="66" spans="1:6">
      <c r="A66" s="38" t="s">
        <v>126</v>
      </c>
      <c r="B66" s="39">
        <v>0</v>
      </c>
      <c r="C66" s="33" t="s">
        <v>127</v>
      </c>
      <c r="D66" s="30"/>
      <c r="E66" s="30"/>
      <c r="F66" s="30"/>
    </row>
    <row r="67" spans="1:6">
      <c r="A67" s="47" t="s">
        <v>128</v>
      </c>
      <c r="B67" s="45">
        <f>B66/24</f>
        <v>0</v>
      </c>
      <c r="C67" s="33" t="s">
        <v>129</v>
      </c>
      <c r="D67" s="30"/>
      <c r="E67" s="30"/>
      <c r="F67" s="30"/>
    </row>
    <row r="68" spans="1:6">
      <c r="A68" s="38" t="s">
        <v>130</v>
      </c>
      <c r="B68" s="39">
        <v>188</v>
      </c>
      <c r="C68" s="33" t="s">
        <v>129</v>
      </c>
      <c r="D68" s="30"/>
      <c r="E68" s="30"/>
      <c r="F68" s="30"/>
    </row>
    <row r="69" spans="1:6">
      <c r="A69" s="38" t="s">
        <v>131</v>
      </c>
      <c r="B69" s="39">
        <f>B62*B63*B65</f>
        <v>110016.00000000001</v>
      </c>
      <c r="C69" s="33" t="s">
        <v>125</v>
      </c>
      <c r="D69" s="30"/>
      <c r="E69" s="30"/>
      <c r="F69" s="30"/>
    </row>
    <row r="70" spans="1:6">
      <c r="A70" s="38" t="s">
        <v>132</v>
      </c>
      <c r="B70" s="45">
        <f>B13*24*365*B16/B68</f>
        <v>105964.73425531917</v>
      </c>
      <c r="C70" s="33" t="s">
        <v>133</v>
      </c>
      <c r="D70" s="30"/>
      <c r="E70" s="30"/>
      <c r="F70" s="30"/>
    </row>
    <row r="71" spans="1:6">
      <c r="A71" s="46" t="s">
        <v>134</v>
      </c>
      <c r="B71" s="43">
        <f>B70/B65</f>
        <v>5547.8918458282287</v>
      </c>
      <c r="C71" s="33" t="s">
        <v>135</v>
      </c>
      <c r="D71" s="30"/>
      <c r="E71" s="30"/>
      <c r="F71" s="30"/>
    </row>
    <row r="72" spans="1:6">
      <c r="A72" s="46" t="s">
        <v>136</v>
      </c>
      <c r="B72" s="43">
        <f>B71/365</f>
        <v>15.199703687200627</v>
      </c>
      <c r="C72" s="33" t="s">
        <v>137</v>
      </c>
      <c r="D72" s="30"/>
      <c r="E72" s="30"/>
      <c r="F72" s="30"/>
    </row>
    <row r="73" spans="1:6">
      <c r="A73" s="46" t="s">
        <v>138</v>
      </c>
      <c r="B73" s="43">
        <f>B65*100</f>
        <v>1910.0000000000002</v>
      </c>
      <c r="C73" s="33" t="s">
        <v>139</v>
      </c>
      <c r="D73" s="30"/>
      <c r="E73" s="30"/>
      <c r="F73" s="30"/>
    </row>
    <row r="74" spans="1:6">
      <c r="A74" s="46"/>
      <c r="B74" s="43"/>
      <c r="C74" s="33"/>
      <c r="D74" s="30"/>
      <c r="E74" s="30"/>
      <c r="F74" s="30"/>
    </row>
    <row r="75" spans="1:6">
      <c r="A75" s="31" t="s">
        <v>140</v>
      </c>
      <c r="B75" s="43"/>
      <c r="C75" s="33"/>
      <c r="D75" s="30"/>
      <c r="E75" s="30"/>
      <c r="F75" s="30"/>
    </row>
    <row r="76" spans="1:6">
      <c r="A76" s="38" t="s">
        <v>141</v>
      </c>
      <c r="B76" s="53">
        <f>B73*(E50)</f>
        <v>237766.40425531915</v>
      </c>
      <c r="C76" s="33" t="s">
        <v>142</v>
      </c>
      <c r="D76" s="30"/>
      <c r="E76" s="30"/>
      <c r="F76" s="30"/>
    </row>
    <row r="77" spans="1:6">
      <c r="A77" s="38" t="s">
        <v>143</v>
      </c>
      <c r="B77" s="53">
        <f>G38</f>
        <v>292500</v>
      </c>
      <c r="C77" s="33" t="s">
        <v>142</v>
      </c>
      <c r="D77" s="30"/>
      <c r="E77" s="30"/>
      <c r="F77" s="30"/>
    </row>
    <row r="78" spans="1:6">
      <c r="A78" s="38" t="s">
        <v>144</v>
      </c>
      <c r="B78" s="53">
        <f>B96*B47</f>
        <v>1524302.7022627662</v>
      </c>
      <c r="C78" s="33" t="s">
        <v>142</v>
      </c>
      <c r="D78" s="30"/>
      <c r="E78" s="30"/>
      <c r="F78" s="30"/>
    </row>
    <row r="79" spans="1:6">
      <c r="A79" s="38" t="s">
        <v>145</v>
      </c>
      <c r="B79" s="53"/>
      <c r="C79" s="33"/>
      <c r="D79" s="30"/>
      <c r="E79" s="30"/>
      <c r="F79" s="30"/>
    </row>
    <row r="80" spans="1:6">
      <c r="A80" s="28" t="s">
        <v>146</v>
      </c>
      <c r="B80" s="53">
        <f>SUM(B76:B79)</f>
        <v>2054569.1065180853</v>
      </c>
      <c r="C80" s="33" t="s">
        <v>142</v>
      </c>
      <c r="D80" s="30"/>
      <c r="E80" s="30"/>
      <c r="F80" s="30"/>
    </row>
    <row r="81" spans="1:6">
      <c r="A81" s="28"/>
      <c r="B81" s="53"/>
      <c r="C81" s="33"/>
      <c r="D81" s="30"/>
      <c r="E81" s="30"/>
      <c r="F81" s="30"/>
    </row>
    <row r="82" spans="1:6">
      <c r="A82" s="28" t="s">
        <v>147</v>
      </c>
      <c r="B82" s="53">
        <f>B73*B71</f>
        <v>10596473.425531918</v>
      </c>
      <c r="C82" s="33" t="s">
        <v>148</v>
      </c>
      <c r="D82" s="30"/>
      <c r="E82" s="30"/>
      <c r="F82" s="30"/>
    </row>
    <row r="83" spans="1:6">
      <c r="A83" s="28"/>
      <c r="B83" s="53"/>
      <c r="C83" s="33"/>
      <c r="D83" s="30"/>
      <c r="E83" s="30"/>
      <c r="F83" s="30"/>
    </row>
    <row r="84" spans="1:6">
      <c r="A84" s="28"/>
      <c r="B84" s="53"/>
      <c r="C84" s="33"/>
      <c r="D84" s="30"/>
      <c r="E84" s="30"/>
      <c r="F84" s="30"/>
    </row>
    <row r="85" spans="1:6">
      <c r="A85" s="28"/>
      <c r="B85" s="53"/>
      <c r="C85" s="33"/>
      <c r="D85" s="30"/>
      <c r="E85" s="30"/>
      <c r="F85" s="30"/>
    </row>
    <row r="86" spans="1:6">
      <c r="A86" s="31" t="s">
        <v>149</v>
      </c>
      <c r="B86" s="34"/>
      <c r="C86" s="33" t="s">
        <v>150</v>
      </c>
      <c r="D86" s="30"/>
      <c r="E86" s="30"/>
      <c r="F86" s="30"/>
    </row>
    <row r="87" spans="1:6">
      <c r="A87" s="38" t="s">
        <v>151</v>
      </c>
      <c r="B87" s="39">
        <f>D87*0.2585</f>
        <v>13695941.902500004</v>
      </c>
      <c r="C87" s="33" t="s">
        <v>148</v>
      </c>
      <c r="D87" s="30">
        <f>B82/0.2</f>
        <v>52982367.127659589</v>
      </c>
      <c r="E87" s="30"/>
      <c r="F87" s="30"/>
    </row>
    <row r="88" spans="1:6">
      <c r="A88" s="38" t="s">
        <v>152</v>
      </c>
      <c r="B88" s="39">
        <f>D87*0.1537</f>
        <v>8143389.8275212795</v>
      </c>
      <c r="C88" s="33" t="s">
        <v>148</v>
      </c>
      <c r="D88" s="30"/>
      <c r="E88" s="30"/>
      <c r="F88" s="30"/>
    </row>
    <row r="89" spans="1:6">
      <c r="A89" s="38" t="s">
        <v>153</v>
      </c>
      <c r="B89" s="39">
        <f>D87*0.0244</f>
        <v>1292769.757914894</v>
      </c>
      <c r="C89" s="33" t="s">
        <v>148</v>
      </c>
      <c r="D89" s="30"/>
      <c r="E89" s="30"/>
      <c r="F89" s="30"/>
    </row>
    <row r="90" spans="1:6">
      <c r="A90" s="38" t="s">
        <v>154</v>
      </c>
      <c r="B90" s="39">
        <f>D87*0.0293</f>
        <v>1552383.3568404259</v>
      </c>
      <c r="C90" s="33" t="s">
        <v>148</v>
      </c>
      <c r="D90" s="30"/>
      <c r="E90" s="30"/>
      <c r="F90" s="30"/>
    </row>
    <row r="91" spans="1:6">
      <c r="A91" s="38" t="s">
        <v>155</v>
      </c>
      <c r="B91" s="39">
        <f>D87*0.3293</f>
        <v>17447093.495138302</v>
      </c>
      <c r="C91" s="33" t="s">
        <v>148</v>
      </c>
      <c r="D91" s="30"/>
      <c r="E91" s="30"/>
      <c r="F91" s="30"/>
    </row>
    <row r="92" spans="1:6">
      <c r="A92" s="38" t="s">
        <v>156</v>
      </c>
      <c r="B92" s="39">
        <f>D87*0.0195</f>
        <v>1033156.158989362</v>
      </c>
      <c r="C92" s="33" t="s">
        <v>148</v>
      </c>
      <c r="D92" s="30"/>
      <c r="E92" s="30"/>
      <c r="F92" s="30"/>
    </row>
    <row r="93" spans="1:6">
      <c r="A93" s="38" t="s">
        <v>157</v>
      </c>
      <c r="B93" s="39">
        <f>D87*0.1171</f>
        <v>6204235.1906489376</v>
      </c>
      <c r="C93" s="33" t="s">
        <v>148</v>
      </c>
      <c r="D93" s="30"/>
      <c r="E93" s="30"/>
      <c r="F93" s="30"/>
    </row>
    <row r="94" spans="1:6">
      <c r="A94" s="38" t="s">
        <v>158</v>
      </c>
      <c r="B94" s="39">
        <f>D87*0.0683</f>
        <v>3618695.67481915</v>
      </c>
      <c r="C94" s="33" t="s">
        <v>148</v>
      </c>
      <c r="D94" s="30"/>
      <c r="E94" s="30"/>
      <c r="F94" s="30"/>
    </row>
    <row r="95" spans="1:6">
      <c r="A95" s="55" t="s">
        <v>159</v>
      </c>
      <c r="B95" s="57">
        <f>SUM(B87:B94)</f>
        <v>52987665.36437235</v>
      </c>
      <c r="C95" s="33" t="s">
        <v>148</v>
      </c>
      <c r="D95" s="30"/>
      <c r="E95" s="30"/>
      <c r="F95" s="30"/>
    </row>
    <row r="96" spans="1:6">
      <c r="A96" s="56" t="s">
        <v>160</v>
      </c>
      <c r="B96" s="54">
        <f>B95/(24*365)</f>
        <v>6048.8202470744691</v>
      </c>
      <c r="C96" s="33" t="s">
        <v>161</v>
      </c>
      <c r="D96" s="30">
        <f>B96/160</f>
        <v>37.805126544215433</v>
      </c>
      <c r="E96" s="30"/>
      <c r="F96" s="30"/>
    </row>
    <row r="97" spans="1:6">
      <c r="A97" s="28"/>
      <c r="B97" s="34"/>
      <c r="C97" s="33"/>
      <c r="D97" s="30"/>
      <c r="E97" s="30"/>
      <c r="F97" s="30"/>
    </row>
    <row r="98" spans="1:6">
      <c r="A98" s="31" t="s">
        <v>162</v>
      </c>
      <c r="B98" s="34"/>
      <c r="C98" s="33"/>
      <c r="D98" s="30"/>
      <c r="E98" s="30"/>
      <c r="F98" s="30"/>
    </row>
    <row r="99" spans="1:6" ht="330">
      <c r="A99" s="76" t="s">
        <v>163</v>
      </c>
      <c r="B99" s="34"/>
      <c r="C99" s="33" t="s">
        <v>148</v>
      </c>
      <c r="D99" s="44" t="s">
        <v>164</v>
      </c>
      <c r="E99" s="30"/>
      <c r="F99" s="30"/>
    </row>
    <row r="100" spans="1:6">
      <c r="A100" s="76" t="s">
        <v>165</v>
      </c>
      <c r="B100" s="34"/>
      <c r="C100" s="33"/>
      <c r="D100" s="44"/>
      <c r="E100" s="30"/>
      <c r="F100" s="30"/>
    </row>
    <row r="101" spans="1:6">
      <c r="A101" s="76"/>
      <c r="B101" s="34"/>
      <c r="C101" s="33"/>
      <c r="D101" s="44"/>
      <c r="E101" s="30"/>
      <c r="F101" s="30"/>
    </row>
    <row r="102" spans="1:6">
      <c r="A102" s="76"/>
      <c r="B102" s="34"/>
      <c r="C102" s="33"/>
      <c r="D102" s="44"/>
      <c r="E102" s="30"/>
      <c r="F102" s="30"/>
    </row>
    <row r="103" spans="1:6">
      <c r="A103" s="77" t="s">
        <v>166</v>
      </c>
      <c r="B103" s="34"/>
      <c r="C103" s="71" t="s">
        <v>148</v>
      </c>
      <c r="D103" s="44"/>
      <c r="E103" s="30"/>
      <c r="F103" s="30"/>
    </row>
    <row r="104" spans="1:6">
      <c r="A104" s="76"/>
      <c r="B104" s="34"/>
      <c r="C104" s="33"/>
      <c r="D104" s="44"/>
      <c r="E104" s="30"/>
      <c r="F104" s="30"/>
    </row>
    <row r="105" spans="1:6">
      <c r="A105" s="76"/>
      <c r="B105" s="34"/>
      <c r="C105" s="33"/>
      <c r="D105" s="44"/>
      <c r="E105" s="30"/>
      <c r="F105" s="30"/>
    </row>
    <row r="106" spans="1:6">
      <c r="A106" s="28"/>
      <c r="B106" s="34"/>
      <c r="C106" s="33"/>
      <c r="D106" s="30"/>
      <c r="E106" s="30"/>
      <c r="F106" s="30"/>
    </row>
    <row r="107" spans="1:6">
      <c r="A107" s="31" t="s">
        <v>167</v>
      </c>
      <c r="B107" s="34"/>
      <c r="C107" s="33"/>
      <c r="D107" s="30"/>
      <c r="E107" s="30"/>
      <c r="F107" s="30"/>
    </row>
    <row r="108" spans="1:6">
      <c r="A108" s="38" t="s">
        <v>168</v>
      </c>
      <c r="B108" s="34"/>
      <c r="C108" s="33"/>
      <c r="D108" s="30"/>
      <c r="E108" s="30"/>
      <c r="F108" s="30"/>
    </row>
    <row r="109" spans="1:6">
      <c r="A109" s="38" t="s">
        <v>169</v>
      </c>
      <c r="B109" s="34"/>
      <c r="C109" s="33"/>
      <c r="D109" s="30"/>
      <c r="E109" s="30"/>
      <c r="F109" s="30"/>
    </row>
    <row r="110" spans="1:6">
      <c r="A110" s="38" t="s">
        <v>170</v>
      </c>
      <c r="B110" s="34"/>
      <c r="C110" s="33"/>
      <c r="D110" s="30"/>
      <c r="E110" s="30"/>
      <c r="F110" s="30"/>
    </row>
    <row r="111" spans="1:6">
      <c r="A111" s="38" t="s">
        <v>171</v>
      </c>
      <c r="B111" s="34"/>
      <c r="C111" s="33"/>
      <c r="D111" s="30"/>
      <c r="E111" s="30"/>
      <c r="F111" s="30"/>
    </row>
    <row r="112" spans="1:6">
      <c r="A112" s="38" t="s">
        <v>172</v>
      </c>
      <c r="B112" s="34"/>
      <c r="C112" s="33"/>
      <c r="D112" s="30"/>
      <c r="E112" s="30"/>
      <c r="F112" s="30"/>
    </row>
    <row r="113" spans="1:6">
      <c r="A113" s="38" t="s">
        <v>173</v>
      </c>
      <c r="B113" s="34"/>
      <c r="C113" s="33"/>
      <c r="D113" s="30"/>
      <c r="E113" s="30"/>
      <c r="F113" s="30"/>
    </row>
    <row r="114" spans="1:6">
      <c r="A114" s="55" t="s">
        <v>174</v>
      </c>
      <c r="B114" s="34"/>
      <c r="C114" s="33"/>
      <c r="D114" s="30"/>
      <c r="E114" s="30"/>
      <c r="F114" s="30"/>
    </row>
    <row r="115" spans="1:6">
      <c r="A115" s="55"/>
      <c r="B115" s="34"/>
      <c r="C115" s="33"/>
      <c r="D115" s="30"/>
      <c r="E115" s="30"/>
      <c r="F115" s="30"/>
    </row>
    <row r="116" spans="1:6">
      <c r="A116" s="31" t="s">
        <v>15</v>
      </c>
      <c r="B116" s="34"/>
      <c r="C116" s="33"/>
      <c r="D116" s="30"/>
      <c r="E116" s="30"/>
      <c r="F116" s="30"/>
    </row>
    <row r="117" spans="1:6">
      <c r="A117" s="42" t="s">
        <v>175</v>
      </c>
      <c r="B117" s="43">
        <f>B70</f>
        <v>105964.73425531917</v>
      </c>
      <c r="C117" s="71" t="s">
        <v>176</v>
      </c>
      <c r="D117" s="30"/>
      <c r="E117" s="30"/>
      <c r="F117" s="30"/>
    </row>
    <row r="118" spans="1:6">
      <c r="A118" s="42" t="s">
        <v>177</v>
      </c>
      <c r="B118" s="43">
        <f>B70</f>
        <v>105964.73425531917</v>
      </c>
      <c r="C118" s="71" t="s">
        <v>176</v>
      </c>
      <c r="D118" s="30"/>
      <c r="E118" s="30"/>
      <c r="F118" s="30"/>
    </row>
    <row r="119" spans="1:6">
      <c r="A119" s="59"/>
      <c r="B119" s="60"/>
      <c r="C119" s="61"/>
      <c r="D119" s="62"/>
    </row>
    <row r="120" spans="1:6" ht="105" hidden="1">
      <c r="A120" s="65" t="s">
        <v>43</v>
      </c>
      <c r="B120" s="63">
        <f>B80</f>
        <v>2054569.1065180853</v>
      </c>
      <c r="C120" s="3" t="str">
        <f>C80</f>
        <v>$/start up</v>
      </c>
      <c r="D120" s="29" t="s">
        <v>178</v>
      </c>
      <c r="E120" s="38"/>
    </row>
    <row r="121" spans="1:6" ht="105" hidden="1">
      <c r="A121" s="65" t="s">
        <v>179</v>
      </c>
      <c r="C121" s="3" t="s">
        <v>180</v>
      </c>
      <c r="D121" s="29" t="s">
        <v>181</v>
      </c>
      <c r="E121" s="38"/>
    </row>
    <row r="122" spans="1:6" ht="135" hidden="1">
      <c r="A122" s="66" t="s">
        <v>182</v>
      </c>
      <c r="C122" s="3" t="s">
        <v>180</v>
      </c>
      <c r="D122" s="29" t="s">
        <v>183</v>
      </c>
      <c r="E122" s="38"/>
    </row>
    <row r="123" spans="1:6" hidden="1">
      <c r="A123" s="66" t="s">
        <v>184</v>
      </c>
      <c r="B123" s="35" t="s">
        <v>185</v>
      </c>
      <c r="C123" s="3" t="s">
        <v>68</v>
      </c>
      <c r="D123" s="29" t="s">
        <v>186</v>
      </c>
    </row>
    <row r="124" spans="1:6" hidden="1">
      <c r="A124" s="66" t="s">
        <v>187</v>
      </c>
      <c r="B124" s="35">
        <f>B9</f>
        <v>55</v>
      </c>
      <c r="C124" s="3" t="str">
        <f>C9</f>
        <v>Mwe</v>
      </c>
    </row>
    <row r="125" spans="1:6" hidden="1">
      <c r="A125" s="66" t="s">
        <v>188</v>
      </c>
      <c r="C125" s="3" t="s">
        <v>189</v>
      </c>
      <c r="D125" s="29" t="s">
        <v>190</v>
      </c>
    </row>
    <row r="126" spans="1:6" hidden="1">
      <c r="A126" s="66" t="s">
        <v>191</v>
      </c>
      <c r="C126" s="3" t="s">
        <v>192</v>
      </c>
      <c r="D126" s="69" t="s">
        <v>193</v>
      </c>
    </row>
    <row r="127" spans="1:6" hidden="1">
      <c r="A127" s="67"/>
    </row>
    <row r="128" spans="1:6" hidden="1">
      <c r="A128" s="66"/>
      <c r="B128" s="36"/>
    </row>
    <row r="129" spans="1:4" hidden="1">
      <c r="A129" s="65" t="s">
        <v>194</v>
      </c>
      <c r="B129" s="35" t="s">
        <v>185</v>
      </c>
    </row>
    <row r="130" spans="1:4" hidden="1">
      <c r="A130" s="66" t="s">
        <v>195</v>
      </c>
      <c r="B130" s="35" t="s">
        <v>185</v>
      </c>
      <c r="C130" s="3" t="s">
        <v>161</v>
      </c>
    </row>
    <row r="131" spans="1:4" hidden="1">
      <c r="A131" s="66" t="s">
        <v>196</v>
      </c>
      <c r="B131" s="35" t="s">
        <v>185</v>
      </c>
      <c r="C131" s="3" t="s">
        <v>35</v>
      </c>
    </row>
    <row r="132" spans="1:4">
      <c r="A132" s="66"/>
    </row>
    <row r="133" spans="1:4">
      <c r="A133" s="65" t="s">
        <v>197</v>
      </c>
    </row>
    <row r="134" spans="1:4" ht="105">
      <c r="A134" s="66" t="s">
        <v>198</v>
      </c>
      <c r="B134" s="37"/>
      <c r="C134" s="3" t="s">
        <v>180</v>
      </c>
      <c r="D134" s="29" t="s">
        <v>199</v>
      </c>
    </row>
    <row r="135" spans="1:4" ht="45">
      <c r="A135" s="66" t="s">
        <v>200</v>
      </c>
      <c r="B135" s="35">
        <f>B13/B15</f>
        <v>3.0670753171086966</v>
      </c>
      <c r="C135" s="3" t="s">
        <v>201</v>
      </c>
      <c r="D135" s="29" t="s">
        <v>202</v>
      </c>
    </row>
    <row r="136" spans="1:4">
      <c r="A136" s="66" t="s">
        <v>203</v>
      </c>
      <c r="B136" s="35" t="s">
        <v>185</v>
      </c>
    </row>
    <row r="137" spans="1:4">
      <c r="A137" s="66"/>
      <c r="B137" s="36"/>
    </row>
    <row r="138" spans="1:4">
      <c r="A138" s="65" t="s">
        <v>15</v>
      </c>
    </row>
    <row r="139" spans="1:4" ht="135">
      <c r="A139" s="68" t="s">
        <v>204</v>
      </c>
      <c r="B139" s="37">
        <f>B117/B118</f>
        <v>1</v>
      </c>
      <c r="D139" s="29" t="s">
        <v>205</v>
      </c>
    </row>
    <row r="140" spans="1:4">
      <c r="A140" s="68"/>
      <c r="B140" s="36"/>
    </row>
    <row r="141" spans="1:4" ht="60">
      <c r="A141" s="65" t="s">
        <v>206</v>
      </c>
      <c r="B141" s="3" t="s">
        <v>185</v>
      </c>
      <c r="C141" s="3" t="s">
        <v>207</v>
      </c>
      <c r="D141" s="29" t="s">
        <v>208</v>
      </c>
    </row>
    <row r="142" spans="1:4">
      <c r="A142" s="65"/>
      <c r="B142" s="36"/>
    </row>
    <row r="143" spans="1:4">
      <c r="A143" s="65" t="s">
        <v>209</v>
      </c>
      <c r="B143" s="37"/>
    </row>
    <row r="144" spans="1:4">
      <c r="A144" s="68" t="s">
        <v>210</v>
      </c>
      <c r="B144" s="73">
        <f>B73/B65/B68</f>
        <v>0.53191489361702127</v>
      </c>
      <c r="C144" s="3" t="s">
        <v>35</v>
      </c>
      <c r="D144" t="s">
        <v>211</v>
      </c>
    </row>
    <row r="145" spans="1:4">
      <c r="A145" s="68" t="s">
        <v>212</v>
      </c>
      <c r="B145" s="3">
        <v>0</v>
      </c>
    </row>
    <row r="146" spans="1:4">
      <c r="A146" s="68" t="s">
        <v>213</v>
      </c>
      <c r="B146" s="75">
        <f>SUM(B144:B145)</f>
        <v>0.53191489361702127</v>
      </c>
    </row>
    <row r="147" spans="1:4">
      <c r="A147" s="68"/>
      <c r="B147" s="3"/>
    </row>
    <row r="148" spans="1:4">
      <c r="A148" s="65" t="s">
        <v>214</v>
      </c>
      <c r="B148" s="3" t="s">
        <v>185</v>
      </c>
    </row>
    <row r="149" spans="1:4">
      <c r="A149" s="65"/>
      <c r="B149" s="3"/>
    </row>
    <row r="150" spans="1:4">
      <c r="A150" s="65" t="s">
        <v>215</v>
      </c>
      <c r="B150" s="72">
        <f>B96/B15</f>
        <v>7.3421378249371472</v>
      </c>
      <c r="C150" s="3" t="s">
        <v>35</v>
      </c>
      <c r="D150" s="74"/>
    </row>
    <row r="151" spans="1:4">
      <c r="A151" s="65"/>
      <c r="B151" s="72"/>
      <c r="D151" s="74"/>
    </row>
    <row r="152" spans="1:4">
      <c r="A152" s="65" t="s">
        <v>216</v>
      </c>
      <c r="B152" s="72">
        <v>0</v>
      </c>
      <c r="C152" s="3" t="s">
        <v>35</v>
      </c>
      <c r="D152" s="74" t="s">
        <v>217</v>
      </c>
    </row>
    <row r="153" spans="1:4">
      <c r="A153" s="65"/>
      <c r="B153" s="3"/>
    </row>
    <row r="154" spans="1:4" ht="90">
      <c r="A154" s="65" t="s">
        <v>218</v>
      </c>
      <c r="B154" s="72">
        <f>B144+B152+B96</f>
        <v>6049.352161968086</v>
      </c>
      <c r="C154" s="61" t="s">
        <v>35</v>
      </c>
      <c r="D154" s="69" t="s">
        <v>219</v>
      </c>
    </row>
    <row r="155" spans="1:4">
      <c r="A155" s="65"/>
      <c r="B155" s="70"/>
    </row>
    <row r="156" spans="1:4" ht="30">
      <c r="A156" s="65" t="s">
        <v>220</v>
      </c>
      <c r="B156" s="64"/>
      <c r="D156" s="29" t="s">
        <v>221</v>
      </c>
    </row>
    <row r="157" spans="1:4" ht="105">
      <c r="A157" s="68" t="s">
        <v>222</v>
      </c>
      <c r="B157" s="64">
        <f>B77+B78</f>
        <v>1816802.7022627662</v>
      </c>
      <c r="C157" s="3" t="s">
        <v>46</v>
      </c>
      <c r="D157" s="29" t="s">
        <v>223</v>
      </c>
    </row>
    <row r="158" spans="1:4">
      <c r="A158" s="68" t="s">
        <v>224</v>
      </c>
      <c r="B158" s="64">
        <f>B19</f>
        <v>65</v>
      </c>
      <c r="D158" s="29"/>
    </row>
    <row r="159" spans="1:4" ht="75">
      <c r="A159" s="68" t="s">
        <v>48</v>
      </c>
      <c r="B159" s="64">
        <f>B76</f>
        <v>237766.40425531915</v>
      </c>
      <c r="D159" s="29" t="s">
        <v>225</v>
      </c>
    </row>
    <row r="160" spans="1:4">
      <c r="A160" s="68" t="s">
        <v>226</v>
      </c>
      <c r="B160" s="37" t="s">
        <v>185</v>
      </c>
      <c r="D160" s="29"/>
    </row>
    <row r="161" spans="1:4">
      <c r="A161" s="68" t="s">
        <v>227</v>
      </c>
      <c r="B161" s="37" t="s">
        <v>185</v>
      </c>
      <c r="D161" s="29"/>
    </row>
    <row r="162" spans="1:4">
      <c r="A162" s="68"/>
      <c r="B162" s="37"/>
    </row>
    <row r="163" spans="1:4">
      <c r="A163" s="65" t="s">
        <v>228</v>
      </c>
      <c r="B163" s="37"/>
    </row>
    <row r="164" spans="1:4" ht="150">
      <c r="A164" s="68" t="s">
        <v>229</v>
      </c>
      <c r="B164" s="37">
        <f>B165*B154*B139</f>
        <v>41522270.78621646</v>
      </c>
      <c r="C164" s="3" t="s">
        <v>161</v>
      </c>
      <c r="D164" s="29" t="s">
        <v>230</v>
      </c>
    </row>
    <row r="165" spans="1:4" ht="150">
      <c r="A165" s="68" t="s">
        <v>231</v>
      </c>
      <c r="B165" s="73">
        <f>B96+E33</f>
        <v>6863.9202470744694</v>
      </c>
      <c r="C165" s="3" t="s">
        <v>161</v>
      </c>
      <c r="D165" s="69" t="s">
        <v>232</v>
      </c>
    </row>
    <row r="166" spans="1:4">
      <c r="A166" s="68"/>
      <c r="B166" s="37"/>
    </row>
    <row r="167" spans="1:4">
      <c r="A167" s="65" t="s">
        <v>233</v>
      </c>
      <c r="B167" s="37"/>
    </row>
    <row r="168" spans="1:4" ht="45">
      <c r="A168" s="68" t="s">
        <v>233</v>
      </c>
      <c r="B168" s="37"/>
      <c r="D168" s="29" t="s">
        <v>234</v>
      </c>
    </row>
    <row r="169" spans="1:4" ht="75">
      <c r="A169" s="68" t="s">
        <v>235</v>
      </c>
      <c r="B169" s="37"/>
      <c r="D169" s="29" t="s">
        <v>236</v>
      </c>
    </row>
    <row r="170" spans="1:4">
      <c r="A170" s="68" t="s">
        <v>237</v>
      </c>
      <c r="B170" s="37"/>
      <c r="D170" s="29"/>
    </row>
    <row r="171" spans="1:4" ht="120">
      <c r="A171" s="68" t="s">
        <v>238</v>
      </c>
      <c r="B171" s="37"/>
      <c r="D171" s="29" t="s">
        <v>239</v>
      </c>
    </row>
    <row r="172" spans="1:4">
      <c r="A172" s="68" t="s">
        <v>240</v>
      </c>
      <c r="B172" s="37"/>
      <c r="C172" s="3" t="s">
        <v>92</v>
      </c>
      <c r="D172" s="29"/>
    </row>
    <row r="173" spans="1:4">
      <c r="A173" s="68" t="s">
        <v>241</v>
      </c>
      <c r="B173" s="37"/>
      <c r="D173" s="29"/>
    </row>
    <row r="174" spans="1:4">
      <c r="A174" s="68" t="s">
        <v>242</v>
      </c>
      <c r="B174" s="37" t="e">
        <f>(B168+B169)/(B172)</f>
        <v>#DIV/0!</v>
      </c>
      <c r="C174" s="3" t="s">
        <v>161</v>
      </c>
      <c r="D174" s="29"/>
    </row>
    <row r="175" spans="1:4">
      <c r="A175" s="68" t="s">
        <v>243</v>
      </c>
      <c r="B175" s="37"/>
      <c r="D175" s="29"/>
    </row>
    <row r="176" spans="1:4">
      <c r="A176" s="68"/>
      <c r="B176" s="37"/>
      <c r="D176" s="29"/>
    </row>
    <row r="177" spans="1:5" ht="60">
      <c r="A177" s="65" t="s">
        <v>244</v>
      </c>
      <c r="B177" s="37">
        <f>(B135*B168)/(B35/100*B7)</f>
        <v>0</v>
      </c>
      <c r="C177" s="3" t="s">
        <v>245</v>
      </c>
      <c r="D177" s="29" t="s">
        <v>246</v>
      </c>
      <c r="E177" t="s">
        <v>247</v>
      </c>
    </row>
    <row r="178" spans="1:5">
      <c r="A178" s="65"/>
      <c r="B178" s="37"/>
    </row>
    <row r="179" spans="1:5">
      <c r="A179" s="65" t="s">
        <v>248</v>
      </c>
      <c r="B179" s="37"/>
    </row>
    <row r="180" spans="1:5" ht="30">
      <c r="A180" s="68" t="s">
        <v>249</v>
      </c>
      <c r="B180" s="37" t="s">
        <v>185</v>
      </c>
    </row>
    <row r="181" spans="1:5" ht="30">
      <c r="A181" s="68" t="s">
        <v>250</v>
      </c>
      <c r="B181" s="37" t="s">
        <v>185</v>
      </c>
    </row>
    <row r="182" spans="1:5">
      <c r="A182" s="68" t="s">
        <v>251</v>
      </c>
      <c r="B182" s="37" t="s">
        <v>185</v>
      </c>
    </row>
    <row r="183" spans="1:5">
      <c r="A183" s="68" t="s">
        <v>252</v>
      </c>
      <c r="B183" s="37" t="s">
        <v>185</v>
      </c>
    </row>
    <row r="184" spans="1:5">
      <c r="A184" s="68" t="s">
        <v>253</v>
      </c>
      <c r="B184" s="35" t="s">
        <v>185</v>
      </c>
    </row>
    <row r="185" spans="1:5">
      <c r="A185" s="67"/>
    </row>
    <row r="186" spans="1:5">
      <c r="A186" s="67"/>
    </row>
    <row r="187" spans="1:5">
      <c r="A187" s="6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0"/>
  <sheetViews>
    <sheetView zoomScale="85" zoomScaleNormal="85" workbookViewId="0">
      <pane xSplit="2" ySplit="1" topLeftCell="C2" activePane="bottomRight" state="frozen"/>
      <selection pane="topRight" activeCell="E22" sqref="E22"/>
      <selection pane="bottomLeft" activeCell="E22" sqref="E22"/>
      <selection pane="bottomRight" activeCell="C10" sqref="C10"/>
    </sheetView>
  </sheetViews>
  <sheetFormatPr defaultColWidth="8.7109375" defaultRowHeight="15"/>
  <cols>
    <col min="1" max="1" width="6.7109375" style="3" customWidth="1"/>
    <col min="2" max="2" width="47.140625" style="5" bestFit="1" customWidth="1"/>
    <col min="3" max="3" width="125.85546875" style="96" customWidth="1"/>
    <col min="4" max="4" width="83.5703125" style="87" customWidth="1"/>
    <col min="5" max="5" width="80.140625" style="87" customWidth="1"/>
    <col min="6" max="6" width="107.5703125" style="8" customWidth="1"/>
    <col min="7" max="16384" width="8.7109375" style="8"/>
  </cols>
  <sheetData>
    <row r="1" spans="1:6">
      <c r="A1" s="88" t="s">
        <v>254</v>
      </c>
      <c r="B1" s="89" t="s">
        <v>255</v>
      </c>
      <c r="C1" s="94" t="s">
        <v>256</v>
      </c>
      <c r="D1" s="94" t="s">
        <v>326</v>
      </c>
    </row>
    <row r="2" spans="1:6">
      <c r="A2" s="100" t="s">
        <v>257</v>
      </c>
      <c r="B2" s="99" t="s">
        <v>15</v>
      </c>
      <c r="C2" s="204" t="s">
        <v>258</v>
      </c>
      <c r="D2" s="204"/>
    </row>
    <row r="3" spans="1:6" ht="75.75" customHeight="1">
      <c r="A3" s="23" t="s">
        <v>14</v>
      </c>
      <c r="B3" s="91" t="s">
        <v>15</v>
      </c>
      <c r="C3" s="205"/>
      <c r="D3" s="205"/>
    </row>
    <row r="4" spans="1:6">
      <c r="A4" s="100" t="s">
        <v>259</v>
      </c>
      <c r="B4" s="99" t="s">
        <v>19</v>
      </c>
      <c r="C4" s="22" t="s">
        <v>260</v>
      </c>
      <c r="D4" s="22"/>
    </row>
    <row r="5" spans="1:6">
      <c r="A5" s="23" t="s">
        <v>20</v>
      </c>
      <c r="B5" s="91" t="s">
        <v>21</v>
      </c>
      <c r="C5" s="95" t="s">
        <v>261</v>
      </c>
      <c r="D5" s="95"/>
    </row>
    <row r="6" spans="1:6" ht="15.6" customHeight="1">
      <c r="A6" s="23" t="s">
        <v>24</v>
      </c>
      <c r="B6" s="132" t="s">
        <v>25</v>
      </c>
      <c r="C6" s="133" t="s">
        <v>347</v>
      </c>
      <c r="D6" s="133"/>
    </row>
    <row r="7" spans="1:6">
      <c r="A7" s="23" t="s">
        <v>27</v>
      </c>
      <c r="B7" s="91" t="s">
        <v>262</v>
      </c>
      <c r="C7" s="95" t="s">
        <v>263</v>
      </c>
      <c r="D7" s="95"/>
    </row>
    <row r="8" spans="1:6">
      <c r="A8" s="23" t="s">
        <v>29</v>
      </c>
      <c r="B8" s="85" t="s">
        <v>264</v>
      </c>
      <c r="C8" s="24" t="s">
        <v>265</v>
      </c>
      <c r="D8" s="24"/>
    </row>
    <row r="9" spans="1:6" ht="92.1" customHeight="1">
      <c r="A9" s="98" t="s">
        <v>31</v>
      </c>
      <c r="B9" s="99" t="s">
        <v>266</v>
      </c>
      <c r="C9" s="93" t="s">
        <v>348</v>
      </c>
      <c r="D9" s="93"/>
      <c r="E9" s="112"/>
      <c r="F9" s="97"/>
    </row>
    <row r="10" spans="1:6" ht="105">
      <c r="A10" s="127" t="s">
        <v>33</v>
      </c>
      <c r="B10" s="128" t="s">
        <v>267</v>
      </c>
      <c r="C10" s="111" t="s">
        <v>349</v>
      </c>
      <c r="D10" s="111"/>
      <c r="E10" s="112"/>
    </row>
    <row r="11" spans="1:6" ht="189.75" customHeight="1">
      <c r="A11" s="21" t="s">
        <v>36</v>
      </c>
      <c r="B11" s="128" t="s">
        <v>37</v>
      </c>
      <c r="C11" s="111" t="s">
        <v>342</v>
      </c>
      <c r="D11" s="111"/>
      <c r="E11" s="112"/>
    </row>
    <row r="12" spans="1:6" ht="75">
      <c r="A12" s="21" t="s">
        <v>38</v>
      </c>
      <c r="B12" s="90" t="s">
        <v>268</v>
      </c>
      <c r="C12" s="111" t="s">
        <v>343</v>
      </c>
      <c r="D12" s="111"/>
      <c r="E12" s="112"/>
    </row>
    <row r="13" spans="1:6" ht="45">
      <c r="A13" s="21" t="s">
        <v>40</v>
      </c>
      <c r="B13" s="90" t="s">
        <v>41</v>
      </c>
      <c r="C13" s="111" t="s">
        <v>269</v>
      </c>
      <c r="D13" s="111"/>
      <c r="E13" s="112"/>
    </row>
    <row r="14" spans="1:6" ht="33.6" customHeight="1">
      <c r="A14" s="98" t="s">
        <v>42</v>
      </c>
      <c r="B14" s="114" t="s">
        <v>43</v>
      </c>
      <c r="C14" s="24" t="s">
        <v>270</v>
      </c>
      <c r="D14" s="24"/>
    </row>
    <row r="15" spans="1:6" ht="141.6" customHeight="1">
      <c r="A15" s="25" t="s">
        <v>44</v>
      </c>
      <c r="B15" s="26" t="s">
        <v>45</v>
      </c>
      <c r="C15" s="92" t="s">
        <v>271</v>
      </c>
      <c r="D15" s="92"/>
    </row>
    <row r="16" spans="1:6" ht="45">
      <c r="A16" s="25" t="s">
        <v>47</v>
      </c>
      <c r="B16" s="26" t="s">
        <v>48</v>
      </c>
      <c r="C16" s="92" t="s">
        <v>272</v>
      </c>
      <c r="D16" s="92"/>
    </row>
    <row r="17" spans="1:4" ht="30">
      <c r="A17" s="116" t="s">
        <v>50</v>
      </c>
      <c r="B17" s="117" t="s">
        <v>51</v>
      </c>
      <c r="C17" s="118" t="s">
        <v>273</v>
      </c>
      <c r="D17" s="118"/>
    </row>
    <row r="18" spans="1:4">
      <c r="A18" s="113" t="s">
        <v>274</v>
      </c>
      <c r="B18" s="119" t="s">
        <v>344</v>
      </c>
      <c r="C18" s="92" t="s">
        <v>345</v>
      </c>
      <c r="D18" s="92"/>
    </row>
    <row r="19" spans="1:4">
      <c r="A19" s="113" t="s">
        <v>276</v>
      </c>
      <c r="B19" s="119" t="s">
        <v>277</v>
      </c>
      <c r="C19" s="120" t="s">
        <v>278</v>
      </c>
      <c r="D19" s="120"/>
    </row>
    <row r="20" spans="1:4" ht="102.6" customHeight="1">
      <c r="A20" s="25" t="s">
        <v>53</v>
      </c>
      <c r="B20" s="26" t="s">
        <v>279</v>
      </c>
      <c r="C20" s="92" t="s">
        <v>346</v>
      </c>
      <c r="D20" s="92"/>
    </row>
  </sheetData>
  <mergeCells count="2">
    <mergeCell ref="C2:C3"/>
    <mergeCell ref="D2:D3"/>
  </mergeCells>
  <phoneticPr fontId="17"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zoomScale="71" zoomScaleNormal="71" workbookViewId="0">
      <selection activeCell="F4" sqref="F4"/>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6"/>
      <c r="C1" s="86"/>
      <c r="D1" s="86"/>
      <c r="E1" s="86"/>
      <c r="F1" s="86"/>
    </row>
    <row r="2" spans="1:6" ht="25.5" customHeight="1" thickBot="1">
      <c r="A2" s="152"/>
      <c r="B2" s="206" t="s">
        <v>280</v>
      </c>
      <c r="C2" s="207"/>
      <c r="D2" s="208"/>
      <c r="E2" s="155"/>
      <c r="F2" s="156"/>
    </row>
    <row r="3" spans="1:6" ht="51.75" thickBot="1">
      <c r="A3" s="153" t="s">
        <v>254</v>
      </c>
      <c r="B3" s="157" t="s">
        <v>281</v>
      </c>
      <c r="C3" s="157" t="s">
        <v>63</v>
      </c>
      <c r="D3" s="157" t="s">
        <v>282</v>
      </c>
      <c r="E3" s="157" t="s">
        <v>283</v>
      </c>
      <c r="F3" s="157" t="s">
        <v>284</v>
      </c>
    </row>
    <row r="4" spans="1:6" ht="135" customHeight="1" thickBot="1">
      <c r="A4" s="126">
        <v>1</v>
      </c>
      <c r="B4" s="158" t="s">
        <v>285</v>
      </c>
      <c r="C4" s="159" t="s">
        <v>35</v>
      </c>
      <c r="D4" s="160" t="s">
        <v>286</v>
      </c>
      <c r="E4" s="159"/>
      <c r="F4" s="181">
        <v>0</v>
      </c>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1"/>
  <sheetViews>
    <sheetView zoomScale="93" zoomScaleNormal="93" workbookViewId="0">
      <selection activeCell="H4" sqref="H4"/>
    </sheetView>
  </sheetViews>
  <sheetFormatPr defaultRowHeight="15"/>
  <cols>
    <col min="1" max="1" width="3.28515625" bestFit="1" customWidth="1"/>
    <col min="2" max="2" width="26.28515625" customWidth="1"/>
    <col min="3" max="3" width="8.85546875" bestFit="1" customWidth="1"/>
    <col min="4" max="4" width="44.140625" customWidth="1"/>
    <col min="5" max="5" width="14.5703125" bestFit="1" customWidth="1"/>
    <col min="6" max="6" width="10.28515625" customWidth="1"/>
    <col min="7" max="7" width="8.85546875" customWidth="1"/>
    <col min="8" max="8" width="49.28515625" customWidth="1"/>
  </cols>
  <sheetData>
    <row r="1" spans="1:8" ht="25.5">
      <c r="A1" s="19" t="s">
        <v>254</v>
      </c>
      <c r="B1" s="19" t="s">
        <v>287</v>
      </c>
      <c r="C1" s="19" t="s">
        <v>63</v>
      </c>
      <c r="D1" s="19" t="s">
        <v>256</v>
      </c>
      <c r="E1" s="19" t="s">
        <v>339</v>
      </c>
      <c r="F1" s="19" t="s">
        <v>317</v>
      </c>
      <c r="G1" s="19" t="s">
        <v>318</v>
      </c>
      <c r="H1" s="19" t="s">
        <v>288</v>
      </c>
    </row>
    <row r="2" spans="1:8" ht="85.5" customHeight="1">
      <c r="A2" s="27">
        <v>1</v>
      </c>
      <c r="B2" s="20" t="s">
        <v>327</v>
      </c>
      <c r="C2" s="27" t="s">
        <v>289</v>
      </c>
      <c r="D2" s="27" t="s">
        <v>337</v>
      </c>
      <c r="E2" s="182"/>
      <c r="F2" s="182">
        <v>30</v>
      </c>
      <c r="G2" s="182">
        <v>30</v>
      </c>
      <c r="H2" s="131" t="s">
        <v>290</v>
      </c>
    </row>
    <row r="3" spans="1:8" ht="75">
      <c r="A3" s="27">
        <v>2</v>
      </c>
      <c r="B3" s="20" t="s">
        <v>328</v>
      </c>
      <c r="C3" s="27" t="s">
        <v>289</v>
      </c>
      <c r="D3" s="27" t="s">
        <v>338</v>
      </c>
      <c r="E3" s="182"/>
      <c r="F3" s="182">
        <v>30</v>
      </c>
      <c r="G3" s="182">
        <v>30</v>
      </c>
      <c r="H3" s="131" t="s">
        <v>290</v>
      </c>
    </row>
    <row r="4" spans="1:8" ht="38.25">
      <c r="A4" s="27">
        <v>3</v>
      </c>
      <c r="B4" s="20" t="s">
        <v>329</v>
      </c>
      <c r="C4" s="27" t="s">
        <v>289</v>
      </c>
      <c r="D4" s="27" t="s">
        <v>337</v>
      </c>
      <c r="E4" s="182"/>
      <c r="F4" s="182"/>
      <c r="G4" s="182"/>
      <c r="H4" s="131"/>
    </row>
    <row r="5" spans="1:8" ht="38.25">
      <c r="A5" s="27">
        <v>4</v>
      </c>
      <c r="B5" s="20" t="s">
        <v>330</v>
      </c>
      <c r="C5" s="27" t="s">
        <v>289</v>
      </c>
      <c r="D5" s="27" t="s">
        <v>338</v>
      </c>
      <c r="E5" s="182"/>
      <c r="F5" s="182"/>
      <c r="G5" s="182"/>
      <c r="H5" s="131"/>
    </row>
    <row r="6" spans="1:8" ht="38.25">
      <c r="A6" s="27">
        <v>5</v>
      </c>
      <c r="B6" s="20" t="s">
        <v>331</v>
      </c>
      <c r="C6" s="27" t="s">
        <v>289</v>
      </c>
      <c r="D6" s="27" t="s">
        <v>337</v>
      </c>
      <c r="E6" s="182"/>
      <c r="F6" s="182"/>
      <c r="G6" s="182"/>
      <c r="H6" s="131"/>
    </row>
    <row r="7" spans="1:8" ht="38.25">
      <c r="A7" s="27">
        <v>6</v>
      </c>
      <c r="B7" s="20" t="s">
        <v>332</v>
      </c>
      <c r="C7" s="27" t="s">
        <v>289</v>
      </c>
      <c r="D7" s="27" t="s">
        <v>338</v>
      </c>
      <c r="E7" s="182"/>
      <c r="F7" s="182"/>
      <c r="G7" s="182"/>
      <c r="H7" s="131"/>
    </row>
    <row r="8" spans="1:8" ht="38.25">
      <c r="A8" s="27">
        <v>7</v>
      </c>
      <c r="B8" s="20" t="s">
        <v>333</v>
      </c>
      <c r="C8" s="27" t="s">
        <v>289</v>
      </c>
      <c r="D8" s="27" t="s">
        <v>337</v>
      </c>
      <c r="E8" s="182"/>
      <c r="F8" s="182"/>
      <c r="G8" s="182"/>
      <c r="H8" s="131"/>
    </row>
    <row r="9" spans="1:8" ht="38.25">
      <c r="A9" s="27">
        <v>8</v>
      </c>
      <c r="B9" s="20" t="s">
        <v>334</v>
      </c>
      <c r="C9" s="27" t="s">
        <v>289</v>
      </c>
      <c r="D9" s="27" t="s">
        <v>338</v>
      </c>
      <c r="E9" s="182"/>
      <c r="F9" s="182"/>
      <c r="G9" s="182"/>
      <c r="H9" s="131"/>
    </row>
    <row r="10" spans="1:8" ht="38.25">
      <c r="A10" s="27">
        <v>9</v>
      </c>
      <c r="B10" s="20" t="s">
        <v>335</v>
      </c>
      <c r="C10" s="27" t="s">
        <v>289</v>
      </c>
      <c r="D10" s="27" t="s">
        <v>337</v>
      </c>
      <c r="E10" s="182"/>
      <c r="F10" s="182"/>
      <c r="G10" s="182"/>
      <c r="H10" s="131"/>
    </row>
    <row r="11" spans="1:8" ht="38.25">
      <c r="A11" s="27">
        <v>10</v>
      </c>
      <c r="B11" s="20" t="s">
        <v>336</v>
      </c>
      <c r="C11" s="27" t="s">
        <v>289</v>
      </c>
      <c r="D11" s="27" t="s">
        <v>338</v>
      </c>
      <c r="E11" s="182"/>
      <c r="F11" s="182"/>
      <c r="G11" s="182"/>
      <c r="H11" s="131"/>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E13" sqref="E13"/>
    </sheetView>
  </sheetViews>
  <sheetFormatPr defaultRowHeight="15"/>
  <cols>
    <col min="2" max="2" width="15.140625" bestFit="1" customWidth="1"/>
    <col min="3" max="3" width="28.85546875" bestFit="1" customWidth="1"/>
    <col min="4" max="4" width="33.85546875" bestFit="1" customWidth="1"/>
    <col min="5" max="5" width="25" customWidth="1"/>
  </cols>
  <sheetData>
    <row r="1" spans="1:4" s="209" customFormat="1" ht="18.75">
      <c r="A1" s="209" t="s">
        <v>0</v>
      </c>
    </row>
    <row r="2" spans="1:4" s="1" customFormat="1">
      <c r="A2" s="1" t="s">
        <v>291</v>
      </c>
    </row>
    <row r="3" spans="1:4" s="1" customFormat="1">
      <c r="A3" s="183" t="s">
        <v>324</v>
      </c>
    </row>
    <row r="4" spans="1:4" s="2" customFormat="1"/>
    <row r="6" spans="1:4">
      <c r="B6" s="148" t="s">
        <v>292</v>
      </c>
      <c r="C6" s="148" t="s">
        <v>293</v>
      </c>
      <c r="D6" s="148" t="s">
        <v>294</v>
      </c>
    </row>
    <row r="7" spans="1:4" ht="45">
      <c r="B7" s="149" t="s">
        <v>295</v>
      </c>
      <c r="C7" s="184" t="s">
        <v>320</v>
      </c>
      <c r="D7" s="184" t="s">
        <v>320</v>
      </c>
    </row>
    <row r="8" spans="1:4">
      <c r="B8" s="149" t="s">
        <v>296</v>
      </c>
      <c r="C8" s="150"/>
      <c r="D8" s="150"/>
    </row>
    <row r="9" spans="1:4">
      <c r="B9" s="149" t="s">
        <v>297</v>
      </c>
      <c r="C9" s="150"/>
      <c r="D9" s="150"/>
    </row>
    <row r="10" spans="1:4">
      <c r="B10" s="149" t="s">
        <v>298</v>
      </c>
      <c r="C10" s="150"/>
      <c r="D10" s="150"/>
    </row>
    <row r="11" spans="1:4">
      <c r="B11" s="149" t="s">
        <v>299</v>
      </c>
      <c r="C11" s="150"/>
      <c r="D11" s="150"/>
    </row>
    <row r="12" spans="1:4">
      <c r="B12" s="149" t="s">
        <v>300</v>
      </c>
      <c r="C12" s="150"/>
      <c r="D12" s="150"/>
    </row>
    <row r="13" spans="1:4">
      <c r="B13" s="149" t="s">
        <v>301</v>
      </c>
      <c r="C13" s="150"/>
      <c r="D13" s="150"/>
    </row>
    <row r="14" spans="1:4">
      <c r="B14" s="149" t="s">
        <v>302</v>
      </c>
      <c r="C14" s="150"/>
      <c r="D14" s="150"/>
    </row>
    <row r="15" spans="1:4">
      <c r="B15" s="149" t="s">
        <v>303</v>
      </c>
      <c r="C15" s="150"/>
      <c r="D15" s="150"/>
    </row>
    <row r="16" spans="1:4">
      <c r="B16" s="149" t="s">
        <v>304</v>
      </c>
      <c r="C16" s="150"/>
      <c r="D16" s="150"/>
    </row>
    <row r="17" spans="2:4">
      <c r="B17" s="149" t="s">
        <v>305</v>
      </c>
      <c r="C17" s="150"/>
      <c r="D17" s="150"/>
    </row>
    <row r="18" spans="2:4">
      <c r="B18" s="149" t="s">
        <v>306</v>
      </c>
      <c r="C18" s="150"/>
      <c r="D18" s="150"/>
    </row>
    <row r="19" spans="2:4">
      <c r="B19" s="149" t="s">
        <v>307</v>
      </c>
      <c r="C19" s="150"/>
      <c r="D19" s="150"/>
    </row>
    <row r="20" spans="2:4">
      <c r="B20" s="149" t="s">
        <v>308</v>
      </c>
      <c r="C20" s="150"/>
      <c r="D20" s="150"/>
    </row>
    <row r="21" spans="2:4">
      <c r="B21" s="149" t="s">
        <v>309</v>
      </c>
      <c r="C21" s="150"/>
      <c r="D21" s="150"/>
    </row>
    <row r="22" spans="2:4">
      <c r="B22" s="149" t="s">
        <v>310</v>
      </c>
      <c r="C22" s="150"/>
      <c r="D22" s="150"/>
    </row>
    <row r="23" spans="2:4">
      <c r="B23" s="149" t="s">
        <v>311</v>
      </c>
      <c r="C23" s="150"/>
      <c r="D23" s="150"/>
    </row>
    <row r="24" spans="2:4">
      <c r="B24" s="149" t="s">
        <v>312</v>
      </c>
      <c r="C24" s="150"/>
      <c r="D24" s="150"/>
    </row>
    <row r="25" spans="2:4">
      <c r="B25" s="149" t="s">
        <v>313</v>
      </c>
      <c r="C25" s="150"/>
      <c r="D25" s="150"/>
    </row>
    <row r="26" spans="2:4">
      <c r="B26" s="149" t="s">
        <v>314</v>
      </c>
      <c r="C26" s="150"/>
      <c r="D26" s="150"/>
    </row>
    <row r="27" spans="2:4">
      <c r="B27" s="149" t="s">
        <v>315</v>
      </c>
      <c r="C27" s="150"/>
      <c r="D27" s="150"/>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071b58611a050d69c865d3e349c6a557">
  <xsd:schema xmlns:xsd="http://www.w3.org/2001/XMLSchema" xmlns:xs="http://www.w3.org/2001/XMLSchema" xmlns:p="http://schemas.microsoft.com/office/2006/metadata/properties" xmlns:ns2="28d1961b-67d9-4e32-87ba-142d7a745b40" targetNamespace="http://schemas.microsoft.com/office/2006/metadata/properties" ma:root="true" ma:fieldsID="249161904282153d84b45b8ad9740b7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Props1.xml><?xml version="1.0" encoding="utf-8"?>
<ds:datastoreItem xmlns:ds="http://schemas.openxmlformats.org/officeDocument/2006/customXml" ds:itemID="{73A63C54-4A1D-42D4-B953-61FF516C0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FA66E3-ACB6-4A74-8FF0-E59BF956E77D}">
  <ds:schemaRefs>
    <ds:schemaRef ds:uri="http://schemas.microsoft.com/sharepoint/v3/contenttype/forms"/>
  </ds:schemaRefs>
</ds:datastoreItem>
</file>

<file path=customXml/itemProps3.xml><?xml version="1.0" encoding="utf-8"?>
<ds:datastoreItem xmlns:ds="http://schemas.openxmlformats.org/officeDocument/2006/customXml" ds:itemID="{4AC6CFA5-0780-471E-90D9-657BFADA9FD0}">
  <ds:schemaRefs>
    <ds:schemaRef ds:uri="http://schemas.microsoft.com/sharepoint/events"/>
  </ds:schemaRefs>
</ds:datastoreItem>
</file>

<file path=customXml/itemProps4.xml><?xml version="1.0" encoding="utf-8"?>
<ds:datastoreItem xmlns:ds="http://schemas.openxmlformats.org/officeDocument/2006/customXml" ds:itemID="{01F0AE1D-40C3-4CF0-9C34-FA60529C9CD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8d1961b-67d9-4e32-87ba-142d7a745b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Draft Reference Cost</vt:lpstr>
      <vt:lpstr>Definitions of Cost Components</vt:lpstr>
      <vt:lpstr>FinDispatchDataParameters</vt:lpstr>
      <vt:lpstr>Non-FinDispatchDataParameters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Nuclear Example $0 Cost</dc:title>
  <dc:subject/>
  <dc:creator>Independent Electricity System Operator</dc:creator>
  <cp:keywords/>
  <dc:description/>
  <cp:lastModifiedBy>Sarah Roger</cp:lastModifiedBy>
  <cp:revision/>
  <dcterms:created xsi:type="dcterms:W3CDTF">2020-02-05T19:26:57Z</dcterms:created>
  <dcterms:modified xsi:type="dcterms:W3CDTF">2021-02-04T19:01:16Z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