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aspen\project\app Market Renewal Program 378\Public\1.0 ENERGY\1.1 Energy\3. Execution\3.10 External Engagement\20211217SE\Workbooks\"/>
    </mc:Choice>
  </mc:AlternateContent>
  <bookViews>
    <workbookView xWindow="0" yWindow="0" windowWidth="20490" windowHeight="7620" tabRatio="719"/>
  </bookViews>
  <sheets>
    <sheet name="Introduction" sheetId="4" r:id="rId1"/>
    <sheet name="Reference Level Cost Components" sheetId="1" r:id="rId2"/>
    <sheet name="Draft Reference Cost" sheetId="9" state="hidden" r:id="rId3"/>
    <sheet name="Definitions of Cost Components" sheetId="2" r:id="rId4"/>
    <sheet name="FinDispatchDataParameters" sheetId="8" r:id="rId5"/>
    <sheet name="Non-FinDispatchDataParameters" sheetId="6" r:id="rId6"/>
    <sheet name="Reference Quantity" sheetId="10" r:id="rId7"/>
    <sheet name="Supporting Documentation List" sheetId="3" r:id="rId8"/>
  </sheets>
  <definedNames>
    <definedName name="_xlnm._FilterDatabase" localSheetId="3" hidden="1">'Definitions of Cost Components'!$A$1:$C$1</definedName>
    <definedName name="_xlnm._FilterDatabase" localSheetId="5" hidden="1">'Non-FinDispatchDataParameters'!#REF!</definedName>
    <definedName name="_xlnm._FilterDatabase" localSheetId="1" hidden="1">'Reference Level Cost Components'!$B$1:$H$1</definedName>
    <definedName name="_xlnm._FilterDatabase" localSheetId="7" hidden="1">'Supporting Documentation List'!$B$6:$D$26</definedName>
    <definedName name="_Toc33773272" localSheetId="0">Introduction!$A$14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7" i="9" l="1"/>
  <c r="B73" i="9"/>
  <c r="E33" i="9"/>
  <c r="E34" i="9"/>
  <c r="B69" i="9"/>
  <c r="B67" i="9"/>
  <c r="B52" i="9"/>
  <c r="B36" i="9"/>
  <c r="B144" i="9"/>
  <c r="B158" i="9"/>
  <c r="B174" i="9"/>
  <c r="B146" i="9"/>
  <c r="B13" i="9"/>
  <c r="B70" i="9"/>
  <c r="B58" i="9"/>
  <c r="C124" i="9"/>
  <c r="B124" i="9"/>
  <c r="E39" i="9"/>
  <c r="C120" i="9"/>
  <c r="B71" i="9"/>
  <c r="B117" i="9"/>
  <c r="B118" i="9"/>
  <c r="G37" i="9"/>
  <c r="E37" i="9"/>
  <c r="E45" i="9"/>
  <c r="B11" i="9"/>
  <c r="B53" i="9"/>
  <c r="B14" i="9"/>
  <c r="B15" i="9"/>
  <c r="B135" i="9"/>
  <c r="B177" i="9"/>
  <c r="B72" i="9"/>
  <c r="B82" i="9"/>
  <c r="D87" i="9"/>
  <c r="F36" i="9"/>
  <c r="F34" i="9"/>
  <c r="F32" i="9"/>
  <c r="B64" i="9"/>
  <c r="B139" i="9"/>
  <c r="B10" i="9"/>
  <c r="B94" i="9"/>
  <c r="B93" i="9"/>
  <c r="B92" i="9"/>
  <c r="B91" i="9"/>
  <c r="B90" i="9"/>
  <c r="B89" i="9"/>
  <c r="B88" i="9"/>
  <c r="B87" i="9"/>
  <c r="B95" i="9"/>
  <c r="B17" i="9"/>
  <c r="E46" i="9"/>
  <c r="E43" i="9"/>
  <c r="E44" i="9"/>
  <c r="E41" i="9"/>
  <c r="E40" i="9"/>
  <c r="E38" i="9"/>
  <c r="E31" i="9"/>
  <c r="E32" i="9"/>
  <c r="G36" i="9"/>
  <c r="G38" i="9"/>
  <c r="B77" i="9"/>
  <c r="E42" i="9"/>
  <c r="E48" i="9"/>
  <c r="E49" i="9"/>
  <c r="E50" i="9"/>
  <c r="D4" i="9"/>
  <c r="B76" i="9"/>
  <c r="E51" i="9"/>
  <c r="B159" i="9"/>
  <c r="B96" i="9"/>
  <c r="B150" i="9"/>
  <c r="B78" i="9"/>
  <c r="B157" i="9"/>
  <c r="B154" i="9"/>
  <c r="B165" i="9"/>
  <c r="D96" i="9"/>
  <c r="B164" i="9"/>
  <c r="B80" i="9"/>
  <c r="B120" i="9"/>
</calcChain>
</file>

<file path=xl/sharedStrings.xml><?xml version="1.0" encoding="utf-8"?>
<sst xmlns="http://schemas.openxmlformats.org/spreadsheetml/2006/main" count="542" uniqueCount="362">
  <si>
    <t>Cost Workbook for Reference Levels - Nuclear Resources</t>
  </si>
  <si>
    <t xml:space="preserve">Resource Information </t>
  </si>
  <si>
    <t>Resource Name</t>
  </si>
  <si>
    <t>Resource ID</t>
  </si>
  <si>
    <t xml:space="preserve">Date of the Cost Workbook Completion </t>
  </si>
  <si>
    <t>Cost Component</t>
  </si>
  <si>
    <t>I. Units of measurement/Additional Information</t>
  </si>
  <si>
    <t>II. Applicability - Resource Type</t>
  </si>
  <si>
    <t>III. Input</t>
  </si>
  <si>
    <t>IV. Supporting Documentation Reference</t>
  </si>
  <si>
    <t>V. Comments</t>
  </si>
  <si>
    <t>(A)</t>
  </si>
  <si>
    <t>Gross Electrical Power</t>
  </si>
  <si>
    <t>MWh</t>
  </si>
  <si>
    <t>Net Electrical Output</t>
  </si>
  <si>
    <t>(B)</t>
  </si>
  <si>
    <t>Heat Input and Rates</t>
  </si>
  <si>
    <t>B.1</t>
  </si>
  <si>
    <t>C.1</t>
  </si>
  <si>
    <t>Fuel Costs</t>
  </si>
  <si>
    <t>Basic Fuel Cost</t>
  </si>
  <si>
    <t>Fuel Disposal Cost</t>
  </si>
  <si>
    <t>Total Fuel Related Costs</t>
  </si>
  <si>
    <t xml:space="preserve">Corrective Maintenance </t>
  </si>
  <si>
    <t>Operating Costs</t>
  </si>
  <si>
    <t>Start-up Costs</t>
  </si>
  <si>
    <t>Cold Start-up Cost</t>
  </si>
  <si>
    <t>$/Start</t>
  </si>
  <si>
    <t>Start Fuel</t>
  </si>
  <si>
    <t>Station Service Quantity</t>
  </si>
  <si>
    <t>Station Service Rate</t>
  </si>
  <si>
    <t>$/MWh</t>
  </si>
  <si>
    <t>hrs</t>
  </si>
  <si>
    <t>Start Maintenancer Adder</t>
  </si>
  <si>
    <t>Days Between Outages</t>
  </si>
  <si>
    <t>Pro-rated start costs</t>
  </si>
  <si>
    <t>Categories</t>
  </si>
  <si>
    <t>Input Values</t>
  </si>
  <si>
    <t>Units</t>
  </si>
  <si>
    <t>Description of Data inputs required from resource</t>
  </si>
  <si>
    <t>Supporting Documentation from Resource</t>
  </si>
  <si>
    <t>Basis for Catagories</t>
  </si>
  <si>
    <t>Reactor / Station / Unit / Specifics</t>
  </si>
  <si>
    <t>Station</t>
  </si>
  <si>
    <t>Unit</t>
  </si>
  <si>
    <t xml:space="preserve">Reactor / Electrical Power  </t>
  </si>
  <si>
    <t>100%Reactor Thermal Power (RP)</t>
  </si>
  <si>
    <t>MWth</t>
  </si>
  <si>
    <t>Gross Electrical Output @ 100% RP</t>
  </si>
  <si>
    <t>Mwe</t>
  </si>
  <si>
    <t>Start up House Electrical Load</t>
  </si>
  <si>
    <t>Net Grid Supply @ 100%RP</t>
  </si>
  <si>
    <t>Station Thermal Efficiency</t>
  </si>
  <si>
    <t>(MWe(gross)-house load)/MWth(100%RP)</t>
  </si>
  <si>
    <t>Current Maximum operating RP</t>
  </si>
  <si>
    <t>%RP</t>
  </si>
  <si>
    <t>Thermal Power Reactor only</t>
  </si>
  <si>
    <t>MWe</t>
  </si>
  <si>
    <t>Annual Capacity Factor</t>
  </si>
  <si>
    <t>% of year hrs</t>
  </si>
  <si>
    <t>Annual Generation</t>
  </si>
  <si>
    <t xml:space="preserve">TWe-hr </t>
  </si>
  <si>
    <t>Station Service Rate (Grid Supply rate for startup)</t>
  </si>
  <si>
    <t>$/MW-hr</t>
  </si>
  <si>
    <t>Reactor Power Thermal to Net Electrical Output</t>
  </si>
  <si>
    <t>Startups per year</t>
  </si>
  <si>
    <t>Startup hold points</t>
  </si>
  <si>
    <t>Start up fuel burnup</t>
  </si>
  <si>
    <t>Start Up Electrical costs</t>
  </si>
  <si>
    <t>RP during heatup to ZPH</t>
  </si>
  <si>
    <t xml:space="preserve">Cold to ZPH Duration </t>
  </si>
  <si>
    <t>Mwe-hr</t>
  </si>
  <si>
    <t>1st hold point RP</t>
  </si>
  <si>
    <t>Duration</t>
  </si>
  <si>
    <t>Sync at RP%</t>
  </si>
  <si>
    <t>Hrs from Sync to generating house load</t>
  </si>
  <si>
    <t>2nd hold point RP</t>
  </si>
  <si>
    <t>$/Mwe-HR</t>
  </si>
  <si>
    <t>$/startup</t>
  </si>
  <si>
    <t>3rd hold point RP</t>
  </si>
  <si>
    <t>4th hold point RP</t>
  </si>
  <si>
    <t>5th hold point RP</t>
  </si>
  <si>
    <t>6th hold point RP</t>
  </si>
  <si>
    <t>%PR</t>
  </si>
  <si>
    <t>Total Start up duration</t>
  </si>
  <si>
    <t>MWth-hr</t>
  </si>
  <si>
    <t>Derates per year</t>
  </si>
  <si>
    <t>Events per year</t>
  </si>
  <si>
    <t>kg U/startup</t>
  </si>
  <si>
    <t>Derate RP</t>
  </si>
  <si>
    <t>bundles per startup</t>
  </si>
  <si>
    <t>BURN RATE AT 30%RP (NO-LOAD)</t>
  </si>
  <si>
    <t>Gross Thermal Power</t>
  </si>
  <si>
    <t>Net Electrical Power</t>
  </si>
  <si>
    <t>Load Sheading</t>
  </si>
  <si>
    <t>RP</t>
  </si>
  <si>
    <t>Hrs</t>
  </si>
  <si>
    <t>Fuel Burn Rates</t>
  </si>
  <si>
    <t xml:space="preserve">Number of Fuel Channels </t>
  </si>
  <si>
    <t>Bundles per channel</t>
  </si>
  <si>
    <t>Average power per bundle</t>
  </si>
  <si>
    <t>kWth/bundle</t>
  </si>
  <si>
    <t>U mass per bundle</t>
  </si>
  <si>
    <t>kg U</t>
  </si>
  <si>
    <t>Average Fuel Burn Rate  MWd/t</t>
  </si>
  <si>
    <t>MWd/t (MWth per 24hrs/tonne)</t>
  </si>
  <si>
    <t>Avg Burn Rate  MWh(th)/kg(U)</t>
  </si>
  <si>
    <t>MWh(th)/kg(u)</t>
  </si>
  <si>
    <t>Average Fuel Burn Rate MWh(th)/kg(u)</t>
  </si>
  <si>
    <t>Fuel Mass in core</t>
  </si>
  <si>
    <t>Approx kg U burnt per year</t>
  </si>
  <si>
    <t>kg / yr</t>
  </si>
  <si>
    <t>Approx Bundles per yr</t>
  </si>
  <si>
    <t>bundles /yr</t>
  </si>
  <si>
    <t>Approx Bundles  per day</t>
  </si>
  <si>
    <t>bundles /day</t>
  </si>
  <si>
    <t>All in cost per fuel bundle (fabrication/disposal)</t>
  </si>
  <si>
    <t>$/Bundle</t>
  </si>
  <si>
    <t>Start Up Costs</t>
  </si>
  <si>
    <t>Start up  Fuel Costs</t>
  </si>
  <si>
    <t>$/start up</t>
  </si>
  <si>
    <t>Startup Electrical Grid Cost</t>
  </si>
  <si>
    <t>Operations Costs per startup</t>
  </si>
  <si>
    <t>Additional Start-up costs</t>
  </si>
  <si>
    <t>Total Startup cost</t>
  </si>
  <si>
    <t>Annual Fuel Cost</t>
  </si>
  <si>
    <t>$/yr</t>
  </si>
  <si>
    <t>Work Management/Maintenance</t>
  </si>
  <si>
    <t>1yr = 365days * 24hrs</t>
  </si>
  <si>
    <t>Work Management/Maintenance(innage)</t>
  </si>
  <si>
    <t>Operations</t>
  </si>
  <si>
    <t>Training</t>
  </si>
  <si>
    <t>Fuel Management</t>
  </si>
  <si>
    <t>Support Services</t>
  </si>
  <si>
    <t>Materials Services</t>
  </si>
  <si>
    <t>Loss Prevention</t>
  </si>
  <si>
    <t>Engineering</t>
  </si>
  <si>
    <t>Total Annual Operating Costs</t>
  </si>
  <si>
    <t>Operation cost per hour</t>
  </si>
  <si>
    <t>$/hr</t>
  </si>
  <si>
    <t xml:space="preserve">Asset Management </t>
  </si>
  <si>
    <t>Annualized Asset Management Cost (Allowable Maintenance Expenses)</t>
  </si>
  <si>
    <t>Variable Maintenance cost is the parts and labor expenses of maintaining equipment and facilities in satisfactory operating condition.
Major inspections and overhauls of gas turbine and steam turbine generators include, but are not limited to, the following costs:
• turbine blade repair/replacement;
• •turbine diaphragm repair;
• casing repair/replacement;
• bearing repair/refurbishment;
• seal repair/replacement and generator refurbishment;
• heat exchanger replacement and cleaning;
Major maintenance of steam turbine generators directly related to electric production include, but are not limited to:
• stop valve repairs;
• throttle valve repairs;
• nozzle block repairs;
• intercept valve repairs.
* fuel and water pump inspection/replacement.
Fueling machine inspection maintenance 
Large pumps and motors inspection maintenance</t>
  </si>
  <si>
    <t>Maintenace Period</t>
  </si>
  <si>
    <t>Total Maintenance Cost</t>
  </si>
  <si>
    <t>Capital Costs</t>
  </si>
  <si>
    <t xml:space="preserve">Sustaining </t>
  </si>
  <si>
    <t>Regulatory</t>
  </si>
  <si>
    <t>Infrastructure (non power block)</t>
  </si>
  <si>
    <t>Information Technology</t>
  </si>
  <si>
    <t>Enhancements</t>
  </si>
  <si>
    <t>Capital Spares</t>
  </si>
  <si>
    <t>Total Annual Capital Costs</t>
  </si>
  <si>
    <t>Performance Factor</t>
  </si>
  <si>
    <t>Actual Fuel Consumed</t>
  </si>
  <si>
    <t>kg U/yr</t>
  </si>
  <si>
    <t>Theoretical Fuel Consumed</t>
  </si>
  <si>
    <t>Start-up Costs are defined as the unit costs to bring the turbine from shutdown conditions to the point after breaker closure which is typically indicated by
telemetered or aggregated state estimator MWs greater than zero and is determined based on the cost of start fuel, electrical grid costs, and additional operation cost if required above normal station manning.</t>
  </si>
  <si>
    <t>No-Load Cost</t>
  </si>
  <si>
    <t>MWth/hr</t>
  </si>
  <si>
    <t>The theoretical cost for a unit “… to remain connected to the system while supplying non electrical power, the no-load cost represents the cost of fuel required to keep the unit running. Such a mode of operation is not possible for most thermal generating units. The no-load cost is simply the constant term in the cost curve and does not have physical meaning.”</t>
  </si>
  <si>
    <t>No-Load Fuel</t>
  </si>
  <si>
    <t>Collecting heat input values as a function of output and performing a regression analysis,
Using heat input values as provided by OEM and performing a regression analysis,
Using the initial design heat input curve for an immature unit and performing a regression analysis.
Determining the measured value of fuel consumed at zero net output from test data (moment of generator output breaker closure).</t>
  </si>
  <si>
    <t>reactor power level</t>
  </si>
  <si>
    <t>n/a</t>
  </si>
  <si>
    <t>Comment: Doesn't No-Load mean no reactor power?</t>
  </si>
  <si>
    <t>grid power draw</t>
  </si>
  <si>
    <t>Crew complement</t>
  </si>
  <si>
    <t>$</t>
  </si>
  <si>
    <t xml:space="preserve">Additional labour required </t>
  </si>
  <si>
    <t>AVG fuel burn rate at given reactor power</t>
  </si>
  <si>
    <t>MWth/kg(U)</t>
  </si>
  <si>
    <t>Comment: Where did this come from?</t>
  </si>
  <si>
    <t>Incremental Cost</t>
  </si>
  <si>
    <t>Hourly production cost</t>
  </si>
  <si>
    <t>The incremental energy cost</t>
  </si>
  <si>
    <t>Heat Input</t>
  </si>
  <si>
    <t xml:space="preserve">Heat Input equals a point on the heat input curve (in MWth/hr) describing the resource’s operational characteristics for converting the applicable fuel input (MWth) into energy (MWh). Heat Input curves are typically obtained via plant performance testing. (@93% Reactor Power)
</t>
  </si>
  <si>
    <t>Heat Rate</t>
  </si>
  <si>
    <t>MWth/MWh</t>
  </si>
  <si>
    <t xml:space="preserve">
</t>
  </si>
  <si>
    <t>Incremental heat rate</t>
  </si>
  <si>
    <t>Total Fuel</t>
  </si>
  <si>
    <t xml:space="preserve">Performance Factor is the calculated ratio of actual fuel burn to either theoretical fuel burn (design heat input). Actual burn may vary from standard burn due to factors such as unit age or modification, changes in fuel properties, seasonal ambient conditions, etc.
</t>
  </si>
  <si>
    <t>Higher Heating Value of Fuel</t>
  </si>
  <si>
    <t>GJ/kg U</t>
  </si>
  <si>
    <t>The heat value of a fuel is the amount of heat released during its combustion.
Source: https://www.world-nuclear.org/information-library/facts-and-figures/heat-values-of-various-fuels.aspx</t>
  </si>
  <si>
    <t>Types of Fuel Costs</t>
  </si>
  <si>
    <t>The cost of fuel calculated as stated in the …..</t>
  </si>
  <si>
    <t xml:space="preserve">Incremental Energy Cost </t>
  </si>
  <si>
    <t>Total Cost</t>
  </si>
  <si>
    <t>Leased Fuel Transportation Equipment</t>
  </si>
  <si>
    <t>Maintenance Adder</t>
  </si>
  <si>
    <t>Note: Maintenace accounted in operating cost</t>
  </si>
  <si>
    <t xml:space="preserve">Total Fuel Related Cost is the sum of fuel costs, fuel related cost, and maintenance cost.
</t>
  </si>
  <si>
    <t>Start-up Costs Definitions</t>
  </si>
  <si>
    <t>Questions: Should we include hot, intermediate and cold start up costs?</t>
  </si>
  <si>
    <t>Start-up Cost</t>
  </si>
  <si>
    <t>Start-up Costs are defined as the unit costs to bring the turbine from shutdown conditions to the point after breaker closure which is typically indicated by telemetered or aggregated state estimator MWs greater than zero and is determined based on the cost of start fuel, electrical grid costs, and additional operation cost if required above normal station manning.</t>
  </si>
  <si>
    <t>Fuel consumed from first fire of start process (initial reactor criticality for nuclear units) to breaker closing and fuel expended from breaker opening of the previous shutdown to initialization of the (hot) unit start-up, excluding normal plant heating/auxiliary equipment fuel requirements.</t>
  </si>
  <si>
    <t xml:space="preserve">Start Maintenance Adder </t>
  </si>
  <si>
    <t>Start Additional Labor Cost</t>
  </si>
  <si>
    <t>No-Load</t>
  </si>
  <si>
    <t>No Load Cost</t>
  </si>
  <si>
    <t xml:space="preserve">The theoretical cost for a unit “… to remain connected to the system while supplying non electrical power, the no-load cost represents the cost of fuel required to keep the unit running. Such a mode of operation is not possible for most thermal generating units. The no-load cost is simply the constant term in the cost curve and does not have physical meaning.”
</t>
  </si>
  <si>
    <t>No -Load Fuel</t>
  </si>
  <si>
    <t>The no-load fuel may be determined by:
-Collecting heat input values as a function of output and performing a regression analysis, 
-Using heat input values as provided by OEM and performing a regression analysis,
-Using the initial design heat input curve for an immature unit and performing a regression analysis.
-Determining the measured value of fuel consumed at zero net output from test data (moment of generator output breaker closure).</t>
  </si>
  <si>
    <t>Variable Maintenance Cost</t>
  </si>
  <si>
    <t>Variable Maintenance cost is the parts and labor expenses of maintaining equipment and facilities in satisfactory operating condition.</t>
  </si>
  <si>
    <t>Allowable Maintenance Expenses</t>
  </si>
  <si>
    <t>Maintenance Costs are expenses incurred as a result of electric production. Allowable expenses can include repair, replacement, inspection, and overhaul expenses, including Long Term Service Agreements (LTSA), related to the following system.</t>
  </si>
  <si>
    <t>Labor Costs</t>
  </si>
  <si>
    <t>Configuration Addition Maintenance Adder</t>
  </si>
  <si>
    <t xml:space="preserve">For units undergoing a significant system or unit Configuration Addition the use of an additional “Configuration Addition Maintenance Adder” may be included in the determination of the total maintenance adder.
</t>
  </si>
  <si>
    <t>Maintenance Period</t>
  </si>
  <si>
    <t>Incremental Adjustment Parameter</t>
  </si>
  <si>
    <t>Equivalent Hourly Maintenance Cost</t>
  </si>
  <si>
    <t>Immature Units: Maintenance Costs</t>
  </si>
  <si>
    <t>Synchronized Reserve</t>
  </si>
  <si>
    <t>$/MW</t>
  </si>
  <si>
    <t xml:space="preserve">
</t>
  </si>
  <si>
    <t>Do we need to include Margin + Lost Opportunity?</t>
  </si>
  <si>
    <t>Regulation Service</t>
  </si>
  <si>
    <t>Fuel Cost increase and Unit Specific Heat Rate Degradation due to Operating at lower loads</t>
  </si>
  <si>
    <t>Cost Increase due to Heat Rate increase during non-steady state</t>
  </si>
  <si>
    <t>Margin/Risk Adder</t>
  </si>
  <si>
    <t>Energy Storage Unit Losses</t>
  </si>
  <si>
    <t>Cost increase in VOM</t>
  </si>
  <si>
    <t>#</t>
  </si>
  <si>
    <t xml:space="preserve">Description </t>
  </si>
  <si>
    <t xml:space="preserve">Cost Category </t>
  </si>
  <si>
    <t>Description</t>
  </si>
  <si>
    <t>A.1</t>
  </si>
  <si>
    <t>Incremental cost of fuel consumed</t>
  </si>
  <si>
    <t>Basic Nuclear Fuel Cost</t>
  </si>
  <si>
    <t xml:space="preserve">Total cost including uranium ore, fabrication, shipping and long term disposal  </t>
  </si>
  <si>
    <t>Fuel Disposal Costs</t>
  </si>
  <si>
    <t>Total cost for fuel transport and disposal</t>
  </si>
  <si>
    <t>Incremental costs associated with start process from initial reactor criticality for nuclear units to breaker closing and fuel expended from breaker opening of the previous shutdown to initialization of the (hot) unit start-up, excluding normal plant heating/auxiliary equipment fuel requirements.</t>
  </si>
  <si>
    <t xml:space="preserve"> The unit costs required to bring the generator from cold shut-down conditions to the point  after breaker closure which is typically indicated by telemetered or aggregated state estimator MWs greater than zero and is determined based on the cost of start fuel, total fuel-related cost, Performance Factor, electrical costs (station service), start maintenance adder, and additional labor cost if required above normal station manning levels.
</t>
  </si>
  <si>
    <t xml:space="preserve">Station service requirements required to  bring the generator from cold shut-down conditions to the point  after breaker closure. The station service quantity will be multiplied by the applicable station service rate. </t>
  </si>
  <si>
    <t>the number of days between planned outages as scheduled with the IESO for a given nuclear power resource</t>
  </si>
  <si>
    <t>Reference Levels - Supporting Documentation</t>
  </si>
  <si>
    <t>Attachment #</t>
  </si>
  <si>
    <t>Supporting Document Name</t>
  </si>
  <si>
    <t>Supporting Document Description</t>
  </si>
  <si>
    <t>Attachment 1</t>
  </si>
  <si>
    <t>Attachment 2</t>
  </si>
  <si>
    <t>Attachment 3</t>
  </si>
  <si>
    <t>Attachment 4</t>
  </si>
  <si>
    <t>Attachment 5</t>
  </si>
  <si>
    <t>Attachment 6</t>
  </si>
  <si>
    <t>Attachment 7</t>
  </si>
  <si>
    <t>Attachment 8</t>
  </si>
  <si>
    <t>Attachment 9</t>
  </si>
  <si>
    <t>Attachment 10</t>
  </si>
  <si>
    <t>Attachment 11</t>
  </si>
  <si>
    <t>Attachment 12</t>
  </si>
  <si>
    <t>Attachment 13</t>
  </si>
  <si>
    <t>Attachment 14</t>
  </si>
  <si>
    <t>Attachment 15</t>
  </si>
  <si>
    <t>Attachment 16</t>
  </si>
  <si>
    <t>Attachment 17</t>
  </si>
  <si>
    <t>Attachment 18</t>
  </si>
  <si>
    <t>Attachment 19</t>
  </si>
  <si>
    <t>Attachment 20</t>
  </si>
  <si>
    <t>…</t>
  </si>
  <si>
    <t xml:space="preserve"> Separate for Day Ahead and Real-Time markets</t>
  </si>
  <si>
    <t>Parameter</t>
  </si>
  <si>
    <t>Formula</t>
  </si>
  <si>
    <t xml:space="preserve">
Reference value/cost curve</t>
  </si>
  <si>
    <t>Energy offer</t>
  </si>
  <si>
    <t>Non-Financial Reference Level</t>
  </si>
  <si>
    <t>MW/min</t>
  </si>
  <si>
    <t xml:space="preserve">$/kg (U) </t>
  </si>
  <si>
    <t>kg (U)/Start</t>
  </si>
  <si>
    <t>Fuel consumed from the initial reactor criticality to breaker closing (including auxiliary boiler fuel) plus fuel expended from breaker opening of the previous shutdown to initialization of the (hot) unit start-up, excluding normal plant heating/auxiliary equipment fuel requirements.</t>
  </si>
  <si>
    <t>Nuclear</t>
  </si>
  <si>
    <t>Incremental Fuel Consumption</t>
  </si>
  <si>
    <t>Total Fuel Related Costs for Nuclear Resource</t>
  </si>
  <si>
    <t>Total Fuel-Related Costs for Nuclear Resource</t>
  </si>
  <si>
    <t>Total Fuel Related Cost is the sum of fuel costs, fuel related cost, disposal cost, and maintenance costs (sections below)</t>
  </si>
  <si>
    <t>Pro-Rated Start Costs</t>
  </si>
  <si>
    <t>The energy offer reference level will be used to create an energy cost curve consisting of up to 20 price-quantity pairs that will describe short run marginal costs across the range of energy production. The energy cost curve will be consistent with energy offer requirements as specified in Market Rules Chapter 7 Section 3.5.3.</t>
  </si>
  <si>
    <t>C.2</t>
  </si>
  <si>
    <t>C.3</t>
  </si>
  <si>
    <t>B.3</t>
  </si>
  <si>
    <t>A</t>
  </si>
  <si>
    <t>C.4</t>
  </si>
  <si>
    <t>Applicable in all time periods</t>
  </si>
  <si>
    <t xml:space="preserve"> kg (U))/MWh</t>
  </si>
  <si>
    <t>B.2</t>
  </si>
  <si>
    <t>Incremental Third Party Payments</t>
  </si>
  <si>
    <t xml:space="preserve">For every unit of incremental generation, any payments due to third parties per agreements in effect for the resource and required for the operation of the resource, these include,  royalties (crown land use for example), payments to first nation groups, and/or terms of land lease agreements.  </t>
  </si>
  <si>
    <t>Corrective Maintenance</t>
  </si>
  <si>
    <t>Operating Consumables Costs</t>
  </si>
  <si>
    <t>Operating Consumable Costs</t>
  </si>
  <si>
    <t>Scheduled Maintenance</t>
  </si>
  <si>
    <t>B.4</t>
  </si>
  <si>
    <t>Performance Factors</t>
  </si>
  <si>
    <t>-</t>
  </si>
  <si>
    <t>(C)</t>
  </si>
  <si>
    <t>(D)</t>
  </si>
  <si>
    <t>D.1</t>
  </si>
  <si>
    <t>D.2</t>
  </si>
  <si>
    <t>D.3</t>
  </si>
  <si>
    <t>D.4</t>
  </si>
  <si>
    <t xml:space="preserve">Performance Factor, is the calculated ratio of actual fuel burn to the theoretical fuel burn (design heat input) to achieve a required generator output. In the nuclear industry this is known as the Thermal Performance Indicator (TPI) as defined by World Association of Nuclear Operators (WANO). The WANO specifications dictate the data collection and analysis requirements. The TPI is the ratio of overall actual cycle efficiency to the design cycle efficiency. In this particular regard, the TPI encompasses the entire reactor-boiler-turbine condenser cycle. This indicator is an integrated measure which includes unnecessary heat loads, turbine cycle and condenser performance. PF is expressed as a percentage,  100% indicates perfect thermal performance. </t>
  </si>
  <si>
    <t>B</t>
  </si>
  <si>
    <t>D.5</t>
  </si>
  <si>
    <t>D.6</t>
  </si>
  <si>
    <t>Operating and Maintenance (O&amp;M costs)</t>
  </si>
  <si>
    <t>Operating and Maintenance Costs</t>
  </si>
  <si>
    <t>YYYY/MM/DD</t>
  </si>
  <si>
    <t>Proposed Effective Date of the Cost Workbook</t>
  </si>
  <si>
    <t>$/start</t>
  </si>
  <si>
    <t>days</t>
  </si>
  <si>
    <t xml:space="preserve">III. Time-Based Applicability </t>
  </si>
  <si>
    <t xml:space="preserve">Instructions for Using this Workbook: 1) Complete/update all cells highlighted in yellow; 2) Put 0 if value is 0; 3) Put N/A if item does not apply; 4) Reference supporting documentation is each relevant tab, including references to attachments and page numbers;  5) MP to submit supporting documents along with a summary table of documents provided (see "Supporting Documentation List" tab).
Notes:
Inputs provided by the market participants are considered provisional and subject to the IESO verification and acceptance. Therefore, resulting costs shall not be construed as agreed upon or final until written confirmation is provided by the IESO. </t>
  </si>
  <si>
    <t>Instructions: Please utilize this section to list attachments and descriptions. Use corresponding attachment number to refer to documents in the "Reference Level Cost Components" tab.</t>
  </si>
  <si>
    <t>Comments</t>
  </si>
  <si>
    <t>Technology type of Resource</t>
  </si>
  <si>
    <t>Equals the unit mass of uranium fuel required to produce a megawatt of electricity,  kg(U)/MWh(net)</t>
  </si>
  <si>
    <t>Scheduled Maintenance Costs include routine maintenance tasks which can be incurred during major outages and or during operating periods. 
Examples of allowable costs include: Turbine blade inspection repair/replacement;  Turbine diaphragm repair; casing inspection repair/replacement; Bearing repair/refurbishment;  Turbine and Generator Seal inspections repair/replacement and generator refurbishment; Heat exchanger replacement and cleaning; Turbine Emergency Stop and Control valves, Reheat Stop and Intercept valve inspections and repairs; Turbine and generator control and power systems inspections; All Major Pump and Motor inspection and repairs, Boiler Feed, Condenser Cooling Water, Primary Heat Transport, or Moderator Cooling, etc.; All systems heat exchanger cleaning, tube plugging and tube bundle inspections replacements.  All critical system valves and valve operators inspections; Reactivity Control Units; Heavy Water purification Ion exchange equipment, filters and strainers; Containment systems inspection and maintenance; Feeder and Pressure Tube inspection, assessment and replacement; Main output and unit transformer inspection, repair and replacement; Isolated phase bus inspection and repair; Fueling Machine service and maintenance; Primary and secondary spent fuel bay systems inspection and repair; Repairs to any safety related systems where its current condition is resulting in an impairment and forcing unit de-rate or shutdown; all electrical systems, transformers, switchgear , bus duct, breakers, protective relays, motor control equipment, surge protection, rectifiers, inverters and batteries; Emergency power systems.</t>
  </si>
  <si>
    <t xml:space="preserve">Operating Costs are costs directly attributed to consumable materials and services required for operation of the reactor and power production expressed as $/MWh.  Allowable Operating Cost include lubricants, chemicals, gases demineralized water, acids, caustics and heavy water (deuterium oxide), tritium removal. 
The operating consumables  cost shall be calculated based on a historical 5 year average. </t>
  </si>
  <si>
    <t>Start Maintenance Adder</t>
  </si>
  <si>
    <t>Additional maintenance required specifically for the start-up phase only</t>
  </si>
  <si>
    <t xml:space="preserve">Start-up costs distributed across one operating cycle, between planned and scheduled outages (IESO informed).
</t>
  </si>
  <si>
    <t xml:space="preserve">Operating and Maintenance Costs are incremental expenses incurred as a result of electricity production. Allowable expenses can include repair, replacement, inspection, and overhaul expenses, including Long Term Service Agreements (LTSA), related to the following systems steam turbine and aux, generator and aux, steam generators, main steam system and safety valves, feed water, condensate, condenser, condense cooling system, transformers, controls, reactor systems, reactor control computers and instrumentation and fueling  systems. A Market participant may include costs in cost based offers if those costs are similar to the costs outlined in this provision, so long as they are variable costs that are directly attributable to the production of electricity.
Ref:  CNSC Reg RD/GD-210  Nov 2012.,  Maintenance Programs for Nuclear Power Plants
</t>
  </si>
  <si>
    <r>
      <t xml:space="preserve">Maintenance costs are incremental expenses incurred as a result of electricity production resulting from unscheduled (corrective) and major (corrective).   Only  maintenance costs related to electrical production, reactor safety margin management, environmental qualification maintenance, radiation safety management, conventional safety, environmental safety, and regulator code compliance requirements are eligible.
</t>
    </r>
    <r>
      <rPr>
        <b/>
        <sz val="11"/>
        <color theme="1"/>
        <rFont val="Calibri"/>
        <family val="2"/>
        <scheme val="minor"/>
      </rPr>
      <t>Maintenance Activities may include:</t>
    </r>
    <r>
      <rPr>
        <sz val="11"/>
        <color theme="1"/>
        <rFont val="Calibri"/>
        <family val="2"/>
        <scheme val="minor"/>
      </rPr>
      <t xml:space="preserve"> Temporary repair, repair, overhaul, refurbishment, replacement or modification (for sustained production not enhancement). Corrective action and root cause investigations (Inspection and failure diagnosis).  Major maintenance outage costs for parts and labor required for maintaining equipment and facilities in a safe and reliable operating condition.</t>
    </r>
  </si>
  <si>
    <t>Station/Unit start-up procedure from cold state;  
Station/Unit procedure for resources with load shedding capabilities;
Station/Unit procedures for engaging in and recovering from unit derates</t>
  </si>
  <si>
    <t>Value</t>
  </si>
  <si>
    <t>Supporting Documentation</t>
  </si>
  <si>
    <t>Reference Quantity Modifier</t>
  </si>
  <si>
    <t>Ratio/Multiplier</t>
  </si>
  <si>
    <t xml:space="preserve">If the reference quantity methodologies do not reasonably address the characteristics of a specific resource, a market participant may request a reference quantity modifier/multiplier to be applied to the reference quantity formula. The details and rationale for the change must be demonstrated to the IESO. </t>
  </si>
  <si>
    <t>Start of MW Range</t>
  </si>
  <si>
    <t>End of MW Range</t>
  </si>
  <si>
    <t>Ramp Up Rate (Summer)</t>
  </si>
  <si>
    <t>Ramp Up Rate (Winter)</t>
  </si>
  <si>
    <t>Ramp Down Rate (Summer)</t>
  </si>
  <si>
    <t>Ramp Up Down Rate (Winter)</t>
  </si>
  <si>
    <t>Energy Ramp Rate 1</t>
  </si>
  <si>
    <t>The energy ramp rate profile across the dispatchable range that the resource expects to meet during normal operation.</t>
  </si>
  <si>
    <t>Energy Ramp Rate 2</t>
  </si>
  <si>
    <t>Energy Ramp Rate 3</t>
  </si>
  <si>
    <t>Energy Ramp Rate 4</t>
  </si>
  <si>
    <t>Energy Ramp Rate 5</t>
  </si>
  <si>
    <r>
      <t xml:space="preserve">The section below this line is intended for IESO staff-use only. Please do </t>
    </r>
    <r>
      <rPr>
        <b/>
        <sz val="11"/>
        <color theme="1"/>
        <rFont val="Calibri"/>
        <family val="2"/>
        <scheme val="minor"/>
      </rPr>
      <t>NOT</t>
    </r>
    <r>
      <rPr>
        <sz val="11"/>
        <color theme="1"/>
        <rFont val="Calibri"/>
        <family val="2"/>
        <scheme val="minor"/>
      </rPr>
      <t xml:space="preserve"> enter any information in this section.</t>
    </r>
  </si>
  <si>
    <t>Attribute</t>
  </si>
  <si>
    <t>Applicability (Y/N)</t>
  </si>
  <si>
    <t>Applicable Supporting Documentation</t>
  </si>
  <si>
    <t>Multiple Cost-Profile Establishment</t>
  </si>
  <si>
    <t>The market participant requests to establish an additional reference level cost-profile for its financial reference levels.</t>
  </si>
  <si>
    <t>Ex-Ante Multiple Cost Profile Supporting Documentation Type</t>
  </si>
  <si>
    <t>For an established cost-profile, the IESO and market participant identifies the type of supporting documentation in support of temporary reference level cost-profile change at the time of the request.</t>
  </si>
  <si>
    <t>Ex-Post Multiple Cost Profile Supporting Documentation Type</t>
  </si>
  <si>
    <t>For an established cost-profile, the IESO and market participant identifies the type of supporting documentation in support of temporary reference level cost-profile change to be provided after the dispatch day.</t>
  </si>
  <si>
    <t>Ex-Ante Alternate Fuel-Cost Supporting Documentation Type</t>
  </si>
  <si>
    <t>The types of supporting documentation in support of temporary fuel-cost change to be provided at the time of the request.</t>
  </si>
  <si>
    <t xml:space="preserve">• fuel invoices;
• fuel quotes;
• an offer submitted by the market participant to buy fuel on a trading platform;
• contract terms for fuel procurement;
• documentation related to any process changes used to address varying conditions, such as extreme temperatures and pipeline restrictions; 
• written confirmations of the arrangement of fuel purchases at the time the fuel was purchased;
• for a resource using fuel from its own storage, any of the acceptable documentation from this list and a calculation of its weighted average cost of fuel (WACOF);  and
• any other documentation that demonstrates to the IESO’s satisfaction that a resource’s fuel costs have temporarily increased.
</t>
  </si>
  <si>
    <r>
      <rPr>
        <b/>
        <sz val="11"/>
        <color theme="1"/>
        <rFont val="Calibri"/>
        <family val="2"/>
        <scheme val="minor"/>
      </rPr>
      <t xml:space="preserve">Background: </t>
    </r>
    <r>
      <rPr>
        <sz val="11"/>
        <color theme="1"/>
        <rFont val="Calibri"/>
        <family val="2"/>
        <scheme val="minor"/>
      </rPr>
      <t xml:space="preserve">
This workbook is intended to be used by market participants to submit cost information and non-financial dispatch parameters to the IESO. This cost information will be used in the calculation of financial dispatch data parameter reference levels as part of the IESO's Market Power Mitigation framework. The financial dispatch data parameters relevant to this technology type are found in the 'FinDispatchDataParameters' tab. That tab also contains the formulas that will be used to determine Energy Offer Reference Levels.
Cost components of the financial dispatch data parameters are listed in the 'Reference Level Cost Components' tab. Market participants are to fill out each relevant line item in accordance to the operations of its resource. The reference level curve for energy or operating reserve will be determined by the $/MW(h) costs in this workbook. If the operations of a resource require cost components to vary relative to energy or operating reserve production, then the market participant shall identify to the IESO, the cost component and the range of production that the costs relate to. For example, incremental fuel costs may be $10/MWh for a range of 1-15MW of production and $14/MWh for a range of 16-30MW of production. Participants will be required to provide supporting documentation for all costs that make-up their reference level curve.
The IESO will consider costs submitted by each participant to confirm that they represent incremental costs incurred in the production of incremental supply.
</t>
    </r>
    <r>
      <rPr>
        <b/>
        <sz val="11"/>
        <color rgb="FFC00000"/>
        <rFont val="Calibri"/>
        <family val="2"/>
        <scheme val="minor"/>
      </rPr>
      <t xml:space="preserve">(Updated December 2021)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</si>
</sst>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_(&quot;$&quot;* #,##0_);_(&quot;$&quot;* \(#,##0\);_(&quot;$&quot;* &quot;-&quot;??_);_(@_)"/>
  </numFmts>
  <fonts count="23">
    <font>
      <sz val="11"/>
      <color theme="1"/>
      <name val="Calibri"/>
      <family val="2"/>
      <scheme val="minor"/>
    </font>
    <font>
      <b/>
      <sz val="11"/>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sz val="11"/>
      <name val="Calibri"/>
      <family val="2"/>
      <scheme val="minor"/>
    </font>
    <font>
      <b/>
      <sz val="11"/>
      <name val="Calibri"/>
      <family val="2"/>
      <scheme val="minor"/>
    </font>
    <font>
      <i/>
      <sz val="11"/>
      <color theme="1"/>
      <name val="Calibri"/>
      <family val="2"/>
      <scheme val="minor"/>
    </font>
    <font>
      <i/>
      <sz val="11"/>
      <name val="Calibri"/>
      <family val="2"/>
      <scheme val="minor"/>
    </font>
    <font>
      <sz val="10"/>
      <color theme="1"/>
      <name val="Calibri"/>
      <family val="2"/>
      <scheme val="minor"/>
    </font>
    <font>
      <b/>
      <sz val="10"/>
      <color theme="1"/>
      <name val="Calibri  "/>
    </font>
    <font>
      <sz val="10"/>
      <color theme="1"/>
      <name val="Calibri  "/>
    </font>
    <font>
      <b/>
      <i/>
      <sz val="10"/>
      <color theme="1"/>
      <name val="Calibri  "/>
    </font>
    <font>
      <sz val="10"/>
      <name val="Calibri"/>
      <family val="2"/>
      <scheme val="minor"/>
    </font>
    <font>
      <sz val="10"/>
      <color theme="1"/>
      <name val="Arial Black"/>
      <family val="2"/>
    </font>
    <font>
      <b/>
      <sz val="10"/>
      <color theme="1"/>
      <name val="Arial Black"/>
      <family val="2"/>
    </font>
    <font>
      <sz val="8"/>
      <name val="Calibri"/>
      <family val="2"/>
      <scheme val="minor"/>
    </font>
    <font>
      <sz val="10"/>
      <color theme="1"/>
      <name val="Arial"/>
      <family val="2"/>
    </font>
    <font>
      <i/>
      <sz val="10"/>
      <color theme="1"/>
      <name val="Calibri"/>
      <family val="2"/>
      <scheme val="minor"/>
    </font>
    <font>
      <b/>
      <sz val="10"/>
      <color theme="1"/>
      <name val="Calibri"/>
      <family val="2"/>
      <scheme val="minor"/>
    </font>
    <font>
      <b/>
      <sz val="11"/>
      <color rgb="FFCC2026"/>
      <name val="Calibri"/>
      <family val="2"/>
      <scheme val="minor"/>
    </font>
    <font>
      <b/>
      <sz val="11"/>
      <color rgb="FFC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CC"/>
      </patternFill>
    </fill>
    <fill>
      <patternFill patternType="solid">
        <fgColor theme="0" tint="-0.14999847407452621"/>
        <bgColor indexed="64"/>
      </patternFill>
    </fill>
    <fill>
      <patternFill patternType="solid">
        <fgColor rgb="FFFBE4D5"/>
        <bgColor indexed="64"/>
      </patternFill>
    </fill>
    <fill>
      <patternFill patternType="solid">
        <fgColor rgb="FFFFFF00"/>
        <bgColor indexed="64"/>
      </patternFill>
    </fill>
    <fill>
      <patternFill patternType="solid">
        <fgColor rgb="FF92D050"/>
        <bgColor indexed="64"/>
      </patternFill>
    </fill>
    <fill>
      <patternFill patternType="solid">
        <fgColor theme="2"/>
        <bgColor indexed="64"/>
      </patternFill>
    </fill>
  </fills>
  <borders count="41">
    <border>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rgb="FFB2B2B2"/>
      </right>
      <top style="thin">
        <color rgb="FFB2B2B2"/>
      </top>
      <bottom style="thin">
        <color rgb="FFB2B2B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5" fillId="5" borderId="2" applyNumberFormat="0" applyFont="0" applyAlignment="0" applyProtection="0"/>
    <xf numFmtId="164" fontId="5" fillId="0" borderId="0" applyFont="0" applyFill="0" applyBorder="0" applyAlignment="0" applyProtection="0"/>
  </cellStyleXfs>
  <cellXfs count="219">
    <xf numFmtId="0" fontId="0" fillId="0" borderId="0" xfId="0"/>
    <xf numFmtId="0" fontId="0" fillId="2" borderId="0" xfId="0" applyFill="1"/>
    <xf numFmtId="0" fontId="0" fillId="2" borderId="1" xfId="0" applyFill="1" applyBorder="1"/>
    <xf numFmtId="0" fontId="0" fillId="0" borderId="0" xfId="0" applyAlignment="1">
      <alignment horizontal="center" vertical="center"/>
    </xf>
    <xf numFmtId="0" fontId="0" fillId="0" borderId="0" xfId="0" applyAlignment="1">
      <alignment vertical="top"/>
    </xf>
    <xf numFmtId="0" fontId="0" fillId="0" borderId="0" xfId="0" applyAlignment="1">
      <alignment vertical="center"/>
    </xf>
    <xf numFmtId="0" fontId="2" fillId="2" borderId="0" xfId="0" applyFont="1" applyFill="1" applyBorder="1" applyAlignment="1">
      <alignment vertical="center"/>
    </xf>
    <xf numFmtId="0" fontId="0" fillId="0" borderId="4" xfId="1" applyFont="1" applyFill="1" applyBorder="1" applyAlignment="1">
      <alignment vertical="center"/>
    </xf>
    <xf numFmtId="0" fontId="0" fillId="0" borderId="0" xfId="0" applyBorder="1"/>
    <xf numFmtId="0" fontId="0" fillId="0" borderId="0" xfId="0" applyBorder="1" applyAlignment="1">
      <alignment vertical="center"/>
    </xf>
    <xf numFmtId="0" fontId="0" fillId="0" borderId="0" xfId="1" applyFont="1" applyFill="1" applyBorder="1" applyAlignment="1">
      <alignment vertical="center"/>
    </xf>
    <xf numFmtId="0" fontId="0" fillId="0" borderId="0" xfId="0" applyFill="1" applyBorder="1"/>
    <xf numFmtId="0" fontId="0" fillId="0" borderId="0" xfId="0" applyFill="1" applyBorder="1" applyAlignment="1">
      <alignment vertical="center"/>
    </xf>
    <xf numFmtId="0" fontId="0" fillId="0" borderId="10" xfId="0" applyBorder="1" applyAlignment="1">
      <alignment horizontal="center" vertical="center"/>
    </xf>
    <xf numFmtId="0" fontId="0" fillId="0" borderId="10" xfId="1" applyFont="1" applyFill="1"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7" fillId="6" borderId="15" xfId="1" applyFont="1" applyFill="1" applyBorder="1" applyAlignment="1">
      <alignment horizontal="left" vertical="center"/>
    </xf>
    <xf numFmtId="0" fontId="0" fillId="0" borderId="0" xfId="0" applyFont="1" applyAlignment="1">
      <alignment vertical="top"/>
    </xf>
    <xf numFmtId="0" fontId="11" fillId="7" borderId="3" xfId="0" applyFont="1" applyFill="1" applyBorder="1" applyAlignment="1">
      <alignment vertical="center" wrapText="1"/>
    </xf>
    <xf numFmtId="0" fontId="13" fillId="0" borderId="3" xfId="0" applyFont="1" applyBorder="1" applyAlignment="1">
      <alignment vertical="center" wrapText="1"/>
    </xf>
    <xf numFmtId="0" fontId="1" fillId="0" borderId="3" xfId="0" applyFont="1" applyFill="1" applyBorder="1" applyAlignment="1">
      <alignment horizontal="center" vertical="center"/>
    </xf>
    <xf numFmtId="0" fontId="4" fillId="0" borderId="3" xfId="0" applyFont="1" applyFill="1" applyBorder="1" applyAlignment="1">
      <alignment vertical="top" wrapText="1"/>
    </xf>
    <xf numFmtId="0" fontId="0" fillId="0" borderId="3" xfId="0" applyFont="1" applyFill="1" applyBorder="1" applyAlignment="1">
      <alignment horizontal="center" vertical="center"/>
    </xf>
    <xf numFmtId="0" fontId="0" fillId="0" borderId="3" xfId="0" applyFont="1" applyFill="1" applyBorder="1" applyAlignment="1">
      <alignment vertical="top" wrapText="1"/>
    </xf>
    <xf numFmtId="0" fontId="0" fillId="0" borderId="3" xfId="0" applyFill="1" applyBorder="1" applyAlignment="1">
      <alignment horizontal="center" vertical="center"/>
    </xf>
    <xf numFmtId="0" fontId="0" fillId="0" borderId="3" xfId="0" applyFill="1" applyBorder="1" applyAlignment="1">
      <alignment vertical="center"/>
    </xf>
    <xf numFmtId="0" fontId="12" fillId="0" borderId="3" xfId="0" applyFont="1" applyBorder="1" applyAlignment="1">
      <alignment vertical="center" wrapText="1"/>
    </xf>
    <xf numFmtId="0" fontId="14" fillId="0" borderId="20" xfId="0" applyFont="1" applyBorder="1" applyAlignment="1">
      <alignment vertical="top" wrapText="1"/>
    </xf>
    <xf numFmtId="0" fontId="1" fillId="0" borderId="0" xfId="0" applyFont="1" applyAlignment="1">
      <alignment horizontal="center" wrapText="1"/>
    </xf>
    <xf numFmtId="0" fontId="0" fillId="0" borderId="0" xfId="0" applyAlignment="1">
      <alignment wrapText="1"/>
    </xf>
    <xf numFmtId="0" fontId="1" fillId="0" borderId="0" xfId="0" applyFont="1"/>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5"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ont="1" applyAlignment="1">
      <alignment horizontal="left" wrapText="1" indent="1"/>
    </xf>
    <xf numFmtId="0" fontId="0" fillId="0" borderId="0" xfId="0" applyFont="1" applyAlignment="1">
      <alignment horizontal="center" vertical="center" wrapText="1"/>
    </xf>
    <xf numFmtId="10" fontId="0" fillId="0" borderId="0" xfId="0" applyNumberFormat="1" applyFont="1" applyAlignment="1">
      <alignment horizontal="center" vertical="center" wrapText="1"/>
    </xf>
    <xf numFmtId="9" fontId="0" fillId="0" borderId="0" xfId="0" applyNumberFormat="1" applyFont="1" applyAlignment="1">
      <alignment horizontal="center" vertical="center" wrapText="1"/>
    </xf>
    <xf numFmtId="0" fontId="0" fillId="0" borderId="0" xfId="0" applyFont="1" applyAlignment="1">
      <alignment horizontal="left" wrapText="1" indent="2"/>
    </xf>
    <xf numFmtId="2" fontId="0" fillId="0" borderId="0" xfId="0" applyNumberFormat="1" applyFont="1" applyAlignment="1">
      <alignment horizontal="center" vertical="center" wrapText="1"/>
    </xf>
    <xf numFmtId="0" fontId="0" fillId="0" borderId="0" xfId="0" applyFont="1" applyAlignment="1">
      <alignment wrapText="1"/>
    </xf>
    <xf numFmtId="1" fontId="0" fillId="0" borderId="0" xfId="0" applyNumberFormat="1" applyFont="1" applyAlignment="1">
      <alignment horizontal="center" vertical="center" wrapText="1"/>
    </xf>
    <xf numFmtId="0" fontId="0" fillId="0" borderId="0" xfId="0" applyFont="1" applyAlignment="1">
      <alignment horizontal="center" wrapText="1"/>
    </xf>
    <xf numFmtId="0" fontId="0" fillId="0" borderId="0" xfId="0" applyFont="1" applyAlignment="1">
      <alignment horizontal="left" wrapText="1" indent="3"/>
    </xf>
    <xf numFmtId="0" fontId="0" fillId="0" borderId="0" xfId="0" applyAlignment="1">
      <alignment horizontal="left" wrapText="1" indent="3"/>
    </xf>
    <xf numFmtId="9" fontId="0" fillId="0" borderId="0" xfId="0" applyNumberFormat="1" applyFont="1" applyAlignment="1">
      <alignment wrapText="1"/>
    </xf>
    <xf numFmtId="2" fontId="1" fillId="0" borderId="0" xfId="0" applyNumberFormat="1" applyFont="1"/>
    <xf numFmtId="0" fontId="1" fillId="0" borderId="0" xfId="0" applyFont="1" applyAlignment="1">
      <alignment horizontal="left" wrapText="1" indent="1"/>
    </xf>
    <xf numFmtId="1" fontId="1" fillId="0" borderId="0" xfId="0" applyNumberFormat="1" applyFont="1"/>
    <xf numFmtId="1"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1" fillId="0" borderId="0" xfId="0" applyFont="1" applyAlignment="1">
      <alignment horizontal="left" wrapText="1" indent="4"/>
    </xf>
    <xf numFmtId="0" fontId="1" fillId="0" borderId="0" xfId="0" applyFont="1" applyAlignment="1">
      <alignment horizontal="left" wrapText="1" indent="8"/>
    </xf>
    <xf numFmtId="11" fontId="1" fillId="0" borderId="0" xfId="0" applyNumberFormat="1" applyFont="1" applyAlignment="1">
      <alignment horizontal="center" vertical="center" wrapText="1"/>
    </xf>
    <xf numFmtId="11" fontId="0" fillId="0" borderId="0" xfId="0" applyNumberFormat="1" applyFont="1" applyAlignment="1">
      <alignment horizontal="center" vertical="center" wrapText="1"/>
    </xf>
    <xf numFmtId="0" fontId="1" fillId="8" borderId="0" xfId="0" applyFont="1" applyFill="1" applyAlignment="1">
      <alignment horizontal="center" wrapText="1"/>
    </xf>
    <xf numFmtId="0" fontId="15" fillId="8" borderId="0" xfId="0" applyFont="1" applyFill="1" applyAlignment="1">
      <alignment horizontal="center" vertical="center" wrapText="1"/>
    </xf>
    <xf numFmtId="0" fontId="0" fillId="8" borderId="0" xfId="0" applyFill="1" applyAlignment="1">
      <alignment horizontal="center" vertical="center"/>
    </xf>
    <xf numFmtId="0" fontId="0" fillId="8" borderId="0" xfId="0" applyFill="1"/>
    <xf numFmtId="165" fontId="16" fillId="0" borderId="0" xfId="2" applyNumberFormat="1" applyFont="1" applyFill="1" applyAlignment="1">
      <alignment horizontal="center" vertical="center" wrapText="1"/>
    </xf>
    <xf numFmtId="1" fontId="0" fillId="0" borderId="0" xfId="0" applyNumberFormat="1" applyFill="1" applyAlignment="1">
      <alignment horizontal="center" vertical="center" wrapText="1"/>
    </xf>
    <xf numFmtId="0" fontId="15" fillId="0" borderId="0" xfId="0" applyFont="1" applyFill="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Fill="1" applyAlignment="1">
      <alignment horizontal="left" vertical="center" wrapText="1"/>
    </xf>
    <xf numFmtId="0" fontId="0" fillId="8" borderId="0" xfId="0" applyFill="1" applyAlignment="1">
      <alignment wrapText="1"/>
    </xf>
    <xf numFmtId="2" fontId="15" fillId="0" borderId="0" xfId="0" applyNumberFormat="1" applyFont="1" applyFill="1" applyAlignment="1">
      <alignment horizontal="center" vertical="center" wrapText="1"/>
    </xf>
    <xf numFmtId="0" fontId="0" fillId="0" borderId="0" xfId="0" applyFont="1" applyAlignment="1">
      <alignment horizontal="center" vertical="center"/>
    </xf>
    <xf numFmtId="1" fontId="0" fillId="0" borderId="0" xfId="0" applyNumberFormat="1" applyAlignment="1">
      <alignment horizontal="center" vertical="center"/>
    </xf>
    <xf numFmtId="2" fontId="0" fillId="0" borderId="0" xfId="0" applyNumberFormat="1" applyFill="1" applyAlignment="1">
      <alignment horizontal="center" vertical="center" wrapText="1"/>
    </xf>
    <xf numFmtId="0" fontId="8" fillId="0" borderId="0" xfId="0" applyFont="1" applyFill="1" applyAlignment="1">
      <alignment wrapText="1"/>
    </xf>
    <xf numFmtId="2" fontId="0" fillId="0" borderId="0" xfId="0" applyNumberFormat="1" applyFill="1" applyAlignment="1">
      <alignment horizontal="center" vertical="center"/>
    </xf>
    <xf numFmtId="0" fontId="0" fillId="0" borderId="0" xfId="0" applyFont="1" applyAlignment="1">
      <alignment horizontal="left" vertical="center" wrapText="1" indent="1"/>
    </xf>
    <xf numFmtId="0" fontId="1" fillId="0" borderId="0" xfId="0" applyFont="1" applyAlignment="1">
      <alignment horizontal="left" vertical="center" wrapText="1" indent="3"/>
    </xf>
    <xf numFmtId="0" fontId="7" fillId="6" borderId="15" xfId="1" applyFont="1" applyFill="1" applyBorder="1" applyAlignment="1">
      <alignment horizontal="center" vertical="center" wrapText="1"/>
    </xf>
    <xf numFmtId="0" fontId="7" fillId="6" borderId="15" xfId="1" applyFont="1" applyFill="1" applyBorder="1" applyAlignment="1">
      <alignment horizontal="left" vertical="top" wrapText="1"/>
    </xf>
    <xf numFmtId="0" fontId="7" fillId="6" borderId="16" xfId="1" applyFont="1" applyFill="1" applyBorder="1" applyAlignment="1">
      <alignment horizontal="left" vertical="top" wrapText="1"/>
    </xf>
    <xf numFmtId="0" fontId="0" fillId="0" borderId="0" xfId="0" applyAlignment="1">
      <alignment horizontal="left" vertical="top" wrapText="1"/>
    </xf>
    <xf numFmtId="2" fontId="1" fillId="9" borderId="0" xfId="0" applyNumberFormat="1" applyFont="1" applyFill="1"/>
    <xf numFmtId="0" fontId="1" fillId="9" borderId="0" xfId="0" applyFont="1" applyFill="1"/>
    <xf numFmtId="0" fontId="0" fillId="2" borderId="3" xfId="0" applyFill="1" applyBorder="1" applyAlignment="1">
      <alignment horizontal="center" vertical="center" wrapText="1"/>
    </xf>
    <xf numFmtId="0" fontId="0" fillId="0" borderId="3" xfId="0" applyFont="1" applyFill="1" applyBorder="1" applyAlignment="1">
      <alignment horizontal="left" vertical="center"/>
    </xf>
    <xf numFmtId="0" fontId="0" fillId="0" borderId="0" xfId="0" applyAlignment="1">
      <alignment vertical="top"/>
    </xf>
    <xf numFmtId="0" fontId="0" fillId="0" borderId="0" xfId="0" applyBorder="1" applyAlignment="1">
      <alignment vertical="top"/>
    </xf>
    <xf numFmtId="0" fontId="1" fillId="3" borderId="3" xfId="0" applyFont="1" applyFill="1" applyBorder="1" applyAlignment="1">
      <alignment horizontal="center" vertical="center"/>
    </xf>
    <xf numFmtId="0" fontId="1" fillId="3" borderId="3" xfId="0" applyFont="1" applyFill="1" applyBorder="1" applyAlignment="1">
      <alignment horizontal="left" vertical="center"/>
    </xf>
    <xf numFmtId="0" fontId="3" fillId="0" borderId="3" xfId="0" applyFont="1" applyFill="1" applyBorder="1" applyAlignment="1">
      <alignment vertical="center"/>
    </xf>
    <xf numFmtId="0" fontId="0" fillId="0" borderId="3" xfId="0" applyFont="1" applyFill="1" applyBorder="1" applyAlignment="1">
      <alignment vertical="center"/>
    </xf>
    <xf numFmtId="0" fontId="0" fillId="0" borderId="3" xfId="0" applyFill="1" applyBorder="1" applyAlignment="1">
      <alignment horizontal="left" vertical="top" wrapText="1"/>
    </xf>
    <xf numFmtId="0" fontId="0" fillId="0" borderId="3" xfId="0" applyFill="1" applyBorder="1" applyAlignment="1">
      <alignment vertical="top" wrapText="1"/>
    </xf>
    <xf numFmtId="0" fontId="1" fillId="0" borderId="3" xfId="0" applyFont="1" applyFill="1" applyBorder="1" applyAlignment="1">
      <alignment horizontal="left" vertical="top"/>
    </xf>
    <xf numFmtId="0" fontId="0" fillId="0" borderId="3" xfId="0" applyFont="1" applyFill="1" applyBorder="1" applyAlignment="1">
      <alignment vertical="top"/>
    </xf>
    <xf numFmtId="0" fontId="0" fillId="0" borderId="0" xfId="0" applyFill="1" applyAlignment="1">
      <alignment vertical="top"/>
    </xf>
    <xf numFmtId="0" fontId="0" fillId="0" borderId="0" xfId="0" quotePrefix="1" applyFill="1" applyBorder="1" applyAlignment="1">
      <alignment horizontal="left" vertical="top" wrapText="1"/>
    </xf>
    <xf numFmtId="0" fontId="1" fillId="4" borderId="3" xfId="0" applyFont="1" applyFill="1" applyBorder="1" applyAlignment="1">
      <alignment horizontal="center" vertical="center"/>
    </xf>
    <xf numFmtId="0" fontId="3" fillId="4" borderId="3" xfId="0" applyFont="1" applyFill="1" applyBorder="1" applyAlignment="1">
      <alignment vertical="center"/>
    </xf>
    <xf numFmtId="0" fontId="3" fillId="4" borderId="3" xfId="0" applyFont="1" applyFill="1" applyBorder="1" applyAlignment="1">
      <alignment horizontal="center" vertical="center"/>
    </xf>
    <xf numFmtId="0" fontId="0" fillId="2" borderId="0"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Border="1" applyAlignment="1">
      <alignment horizontal="center" vertical="center" wrapText="1"/>
    </xf>
    <xf numFmtId="0" fontId="0" fillId="2" borderId="8" xfId="0" quotePrefix="1" applyFill="1" applyBorder="1" applyAlignment="1">
      <alignment horizontal="center" vertical="center" wrapText="1"/>
    </xf>
    <xf numFmtId="0" fontId="6" fillId="0" borderId="0" xfId="0" applyFont="1" applyFill="1" applyBorder="1" applyAlignment="1">
      <alignment horizontal="center" vertical="center"/>
    </xf>
    <xf numFmtId="0" fontId="9"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0" fillId="0" borderId="0" xfId="0" applyFill="1" applyBorder="1" applyAlignment="1">
      <alignment horizontal="center" wrapText="1"/>
    </xf>
    <xf numFmtId="0" fontId="0" fillId="0" borderId="0" xfId="0" applyFill="1" applyBorder="1" applyAlignment="1">
      <alignment horizontal="center" vertical="center" wrapText="1"/>
    </xf>
    <xf numFmtId="0" fontId="6" fillId="0" borderId="0" xfId="0" applyFont="1" applyFill="1" applyBorder="1" applyAlignment="1">
      <alignment horizontal="left" vertical="top" wrapText="1"/>
    </xf>
    <xf numFmtId="0" fontId="0" fillId="0" borderId="3" xfId="0" quotePrefix="1" applyFill="1" applyBorder="1" applyAlignment="1">
      <alignment horizontal="left" vertical="top" wrapText="1"/>
    </xf>
    <xf numFmtId="0" fontId="0" fillId="0" borderId="0" xfId="0" applyFont="1" applyBorder="1" applyAlignment="1">
      <alignment vertical="top" wrapText="1"/>
    </xf>
    <xf numFmtId="0" fontId="0" fillId="0" borderId="3" xfId="0" applyBorder="1" applyAlignment="1">
      <alignment horizontal="center" vertical="center"/>
    </xf>
    <xf numFmtId="0" fontId="1" fillId="4" borderId="3" xfId="0" applyFont="1" applyFill="1" applyBorder="1" applyAlignment="1">
      <alignment vertical="center"/>
    </xf>
    <xf numFmtId="0" fontId="0" fillId="2" borderId="8" xfId="0" quotePrefix="1" applyFont="1" applyFill="1" applyBorder="1" applyAlignment="1">
      <alignment horizontal="center" vertical="center" wrapText="1"/>
    </xf>
    <xf numFmtId="0" fontId="0" fillId="0" borderId="0" xfId="0" applyFill="1" applyBorder="1" applyAlignment="1">
      <alignment horizontal="center" vertical="center"/>
    </xf>
    <xf numFmtId="0" fontId="0" fillId="0" borderId="26" xfId="0" applyFill="1" applyBorder="1" applyAlignment="1">
      <alignment vertical="center"/>
    </xf>
    <xf numFmtId="0" fontId="0" fillId="0" borderId="26" xfId="0" applyFill="1" applyBorder="1" applyAlignment="1">
      <alignment horizontal="left" vertical="top" wrapText="1"/>
    </xf>
    <xf numFmtId="0" fontId="0" fillId="0" borderId="3" xfId="0" applyBorder="1" applyAlignment="1">
      <alignment horizontal="left" vertical="center" wrapText="1"/>
    </xf>
    <xf numFmtId="0" fontId="18" fillId="0" borderId="0" xfId="0" applyFont="1"/>
    <xf numFmtId="0" fontId="0" fillId="2" borderId="3" xfId="0" applyFill="1" applyBorder="1" applyAlignment="1">
      <alignment vertical="center"/>
    </xf>
    <xf numFmtId="0" fontId="7" fillId="6" borderId="15" xfId="1" applyFont="1" applyFill="1" applyBorder="1" applyAlignment="1">
      <alignment horizontal="left" vertical="center" wrapText="1"/>
    </xf>
    <xf numFmtId="0" fontId="1" fillId="2" borderId="7" xfId="0" applyFont="1" applyFill="1" applyBorder="1" applyAlignment="1">
      <alignment horizontal="center" vertical="center"/>
    </xf>
    <xf numFmtId="0" fontId="1" fillId="0" borderId="8" xfId="0" applyFont="1" applyFill="1" applyBorder="1" applyAlignment="1">
      <alignment horizontal="left" vertical="center"/>
    </xf>
    <xf numFmtId="0" fontId="0" fillId="2" borderId="3" xfId="0" quotePrefix="1" applyFont="1" applyFill="1" applyBorder="1" applyAlignment="1">
      <alignment horizontal="center" vertical="center" wrapText="1"/>
    </xf>
    <xf numFmtId="0" fontId="10" fillId="0" borderId="17" xfId="0" applyFont="1" applyBorder="1" applyAlignment="1">
      <alignment vertical="top" wrapText="1"/>
    </xf>
    <xf numFmtId="0" fontId="1" fillId="0" borderId="26" xfId="0" applyFont="1" applyFill="1" applyBorder="1" applyAlignment="1">
      <alignment horizontal="center" vertical="center"/>
    </xf>
    <xf numFmtId="0" fontId="3" fillId="0" borderId="26" xfId="0" applyFont="1" applyFill="1" applyBorder="1" applyAlignment="1">
      <alignment horizontal="left" vertical="center"/>
    </xf>
    <xf numFmtId="0" fontId="1" fillId="0" borderId="7" xfId="0" applyFont="1" applyFill="1" applyBorder="1" applyAlignment="1">
      <alignment horizontal="center" vertical="center"/>
    </xf>
    <xf numFmtId="0" fontId="3" fillId="0" borderId="8" xfId="0" applyFont="1" applyFill="1" applyBorder="1" applyAlignment="1">
      <alignment vertical="center"/>
    </xf>
    <xf numFmtId="0" fontId="0" fillId="0" borderId="3" xfId="0" applyBorder="1" applyAlignment="1">
      <alignment wrapText="1"/>
    </xf>
    <xf numFmtId="0" fontId="4" fillId="0" borderId="0" xfId="0" applyFont="1"/>
    <xf numFmtId="0" fontId="0" fillId="2" borderId="3" xfId="0" applyFill="1" applyBorder="1" applyAlignment="1">
      <alignment horizontal="left" vertical="center" wrapText="1"/>
    </xf>
    <xf numFmtId="0" fontId="1" fillId="0" borderId="5" xfId="0" applyFont="1" applyFill="1" applyBorder="1" applyAlignment="1">
      <alignment horizontal="center" vertical="center"/>
    </xf>
    <xf numFmtId="0" fontId="0" fillId="2" borderId="30" xfId="0" applyFill="1" applyBorder="1" applyAlignment="1">
      <alignment horizontal="center" vertical="center"/>
    </xf>
    <xf numFmtId="0" fontId="0" fillId="2" borderId="27" xfId="0" applyFill="1" applyBorder="1" applyAlignment="1">
      <alignment vertical="center"/>
    </xf>
    <xf numFmtId="0" fontId="0" fillId="2" borderId="8" xfId="0" applyFill="1" applyBorder="1" applyAlignment="1">
      <alignment horizontal="center" vertical="center"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Fill="1" applyBorder="1" applyAlignment="1">
      <alignment vertical="center" wrapText="1"/>
    </xf>
    <xf numFmtId="0" fontId="0" fillId="0" borderId="0" xfId="0" applyFill="1" applyAlignment="1">
      <alignment vertical="center"/>
    </xf>
    <xf numFmtId="0" fontId="1" fillId="3" borderId="14" xfId="0" applyFont="1" applyFill="1" applyBorder="1" applyAlignment="1">
      <alignment horizontal="center" vertical="center"/>
    </xf>
    <xf numFmtId="0" fontId="1" fillId="3" borderId="29" xfId="0" quotePrefix="1" applyFont="1" applyFill="1" applyBorder="1" applyAlignment="1">
      <alignment horizontal="center" vertical="center"/>
    </xf>
    <xf numFmtId="0" fontId="1" fillId="3" borderId="3" xfId="0" applyFont="1" applyFill="1" applyBorder="1" applyAlignment="1">
      <alignment horizontal="left"/>
    </xf>
    <xf numFmtId="0" fontId="0" fillId="0" borderId="3" xfId="0" applyBorder="1"/>
    <xf numFmtId="0" fontId="8" fillId="0" borderId="5" xfId="0" applyFont="1" applyFill="1" applyBorder="1" applyAlignment="1">
      <alignment horizontal="left" vertical="center"/>
    </xf>
    <xf numFmtId="0" fontId="0" fillId="0" borderId="23" xfId="0" applyFont="1" applyBorder="1" applyAlignment="1">
      <alignment vertical="top"/>
    </xf>
    <xf numFmtId="0" fontId="19" fillId="0" borderId="17" xfId="0" applyFont="1" applyBorder="1" applyAlignment="1">
      <alignment vertical="top" wrapText="1"/>
    </xf>
    <xf numFmtId="0" fontId="10" fillId="0" borderId="23" xfId="0" applyFont="1" applyBorder="1" applyAlignment="1">
      <alignment vertical="top" wrapText="1"/>
    </xf>
    <xf numFmtId="0" fontId="10" fillId="0" borderId="19" xfId="0" applyFont="1" applyBorder="1" applyAlignment="1">
      <alignment vertical="top" wrapText="1"/>
    </xf>
    <xf numFmtId="0" fontId="20" fillId="7" borderId="17" xfId="0" applyFont="1" applyFill="1" applyBorder="1" applyAlignment="1">
      <alignment vertical="top" wrapText="1"/>
    </xf>
    <xf numFmtId="0" fontId="20" fillId="7" borderId="21" xfId="0" applyFont="1" applyFill="1" applyBorder="1" applyAlignment="1">
      <alignment vertical="top" wrapText="1"/>
    </xf>
    <xf numFmtId="0" fontId="8" fillId="0" borderId="30" xfId="0" applyFont="1" applyFill="1" applyBorder="1" applyAlignment="1">
      <alignment horizontal="left" vertical="center"/>
    </xf>
    <xf numFmtId="0" fontId="0" fillId="0" borderId="5" xfId="0" applyFill="1" applyBorder="1" applyAlignment="1">
      <alignment horizontal="center" vertical="center"/>
    </xf>
    <xf numFmtId="0" fontId="0" fillId="0" borderId="3" xfId="0" applyFill="1" applyBorder="1" applyAlignment="1">
      <alignment horizontal="left" vertical="center" wrapText="1"/>
    </xf>
    <xf numFmtId="0" fontId="1" fillId="3" borderId="29"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left" vertical="center" wrapText="1"/>
    </xf>
    <xf numFmtId="0" fontId="0" fillId="0" borderId="8" xfId="0" applyFill="1" applyBorder="1" applyAlignment="1">
      <alignment vertical="center"/>
    </xf>
    <xf numFmtId="0" fontId="4" fillId="0" borderId="3" xfId="0" applyFont="1" applyBorder="1"/>
    <xf numFmtId="0" fontId="0" fillId="2" borderId="5" xfId="0" applyFill="1" applyBorder="1" applyAlignment="1">
      <alignment horizontal="center" vertical="center"/>
    </xf>
    <xf numFmtId="0" fontId="0" fillId="8" borderId="6" xfId="0" applyFill="1" applyBorder="1"/>
    <xf numFmtId="0" fontId="0" fillId="8" borderId="28" xfId="0" applyFill="1" applyBorder="1"/>
    <xf numFmtId="0" fontId="0" fillId="8" borderId="3" xfId="0" applyFill="1" applyBorder="1" applyAlignment="1">
      <alignment horizontal="center" vertical="center" wrapText="1"/>
    </xf>
    <xf numFmtId="0" fontId="0" fillId="8" borderId="3" xfId="0" applyFill="1" applyBorder="1" applyAlignment="1">
      <alignment horizontal="left" vertical="top" wrapText="1"/>
    </xf>
    <xf numFmtId="0" fontId="0" fillId="8" borderId="6" xfId="0" quotePrefix="1" applyFill="1" applyBorder="1" applyAlignment="1">
      <alignment horizontal="left" vertical="top" wrapText="1"/>
    </xf>
    <xf numFmtId="0" fontId="0" fillId="8" borderId="8" xfId="0" applyFill="1" applyBorder="1" applyAlignment="1">
      <alignment horizontal="center" vertical="center" wrapText="1"/>
    </xf>
    <xf numFmtId="0" fontId="0" fillId="8" borderId="8" xfId="0" applyFill="1" applyBorder="1" applyAlignment="1">
      <alignment horizontal="left" vertical="top" wrapText="1"/>
    </xf>
    <xf numFmtId="0" fontId="0" fillId="8" borderId="9" xfId="0" quotePrefix="1" applyFill="1" applyBorder="1" applyAlignment="1">
      <alignment horizontal="left" vertical="top" wrapText="1"/>
    </xf>
    <xf numFmtId="0" fontId="0" fillId="8" borderId="6" xfId="0" applyFill="1" applyBorder="1" applyAlignment="1">
      <alignment horizontal="left" vertical="top" wrapText="1"/>
    </xf>
    <xf numFmtId="0" fontId="0" fillId="8" borderId="6" xfId="0" applyFill="1" applyBorder="1" applyAlignment="1">
      <alignment horizontal="center" vertical="center" wrapText="1"/>
    </xf>
    <xf numFmtId="0" fontId="0" fillId="8" borderId="9" xfId="0" applyFill="1" applyBorder="1" applyAlignment="1">
      <alignment horizontal="left" vertical="top" wrapText="1"/>
    </xf>
    <xf numFmtId="0" fontId="0" fillId="8" borderId="3" xfId="0" quotePrefix="1" applyFill="1" applyBorder="1" applyAlignment="1">
      <alignment horizontal="left" vertical="top" wrapText="1"/>
    </xf>
    <xf numFmtId="0" fontId="0" fillId="8" borderId="8" xfId="0" quotePrefix="1" applyFill="1" applyBorder="1" applyAlignment="1">
      <alignment horizontal="center" vertical="center" wrapText="1"/>
    </xf>
    <xf numFmtId="0" fontId="0" fillId="8" borderId="8" xfId="0" quotePrefix="1" applyFill="1" applyBorder="1" applyAlignment="1">
      <alignment horizontal="left" vertical="top" wrapText="1"/>
    </xf>
    <xf numFmtId="0" fontId="0" fillId="8" borderId="22" xfId="0" applyFill="1" applyBorder="1" applyAlignment="1">
      <alignment vertical="top"/>
    </xf>
    <xf numFmtId="0" fontId="12" fillId="8" borderId="3" xfId="0" applyFont="1" applyFill="1" applyBorder="1" applyAlignment="1">
      <alignment vertical="center" wrapText="1"/>
    </xf>
    <xf numFmtId="0" fontId="21" fillId="0" borderId="0" xfId="0" applyFont="1" applyFill="1"/>
    <xf numFmtId="0" fontId="0" fillId="8" borderId="3" xfId="0" applyFill="1" applyBorder="1"/>
    <xf numFmtId="0" fontId="0" fillId="8" borderId="3" xfId="0" applyFill="1" applyBorder="1" applyAlignment="1">
      <alignment vertical="center" wrapText="1"/>
    </xf>
    <xf numFmtId="0" fontId="12" fillId="0" borderId="26" xfId="0" applyFont="1" applyBorder="1" applyAlignment="1">
      <alignment horizontal="left" vertical="center" wrapText="1"/>
    </xf>
    <xf numFmtId="0" fontId="12" fillId="0" borderId="3" xfId="0" applyFont="1" applyBorder="1" applyAlignment="1">
      <alignment horizontal="left" vertical="center" wrapText="1"/>
    </xf>
    <xf numFmtId="0" fontId="12" fillId="0" borderId="3" xfId="0" applyFont="1" applyFill="1" applyBorder="1" applyAlignment="1">
      <alignment vertical="center" wrapText="1"/>
    </xf>
    <xf numFmtId="0" fontId="0" fillId="10" borderId="0" xfId="0" applyFill="1"/>
    <xf numFmtId="0" fontId="1" fillId="10" borderId="29" xfId="0" applyFont="1" applyFill="1" applyBorder="1"/>
    <xf numFmtId="0" fontId="1" fillId="10" borderId="34" xfId="0" applyFont="1" applyFill="1" applyBorder="1"/>
    <xf numFmtId="0" fontId="1" fillId="10" borderId="35" xfId="0" applyFont="1" applyFill="1" applyBorder="1"/>
    <xf numFmtId="0" fontId="0" fillId="10" borderId="5" xfId="0" applyFill="1" applyBorder="1" applyAlignment="1">
      <alignment wrapText="1"/>
    </xf>
    <xf numFmtId="0" fontId="0" fillId="10" borderId="3" xfId="0" applyFill="1" applyBorder="1" applyAlignment="1">
      <alignment wrapText="1"/>
    </xf>
    <xf numFmtId="0" fontId="0" fillId="10" borderId="6" xfId="0" applyFill="1" applyBorder="1" applyAlignment="1">
      <alignment wrapText="1"/>
    </xf>
    <xf numFmtId="0" fontId="0" fillId="10" borderId="7" xfId="0" applyFill="1" applyBorder="1" applyAlignment="1">
      <alignment wrapText="1"/>
    </xf>
    <xf numFmtId="0" fontId="0" fillId="10" borderId="8" xfId="0" applyFill="1" applyBorder="1" applyAlignment="1">
      <alignment wrapText="1"/>
    </xf>
    <xf numFmtId="0" fontId="0" fillId="10" borderId="9" xfId="0" applyFill="1" applyBorder="1" applyAlignment="1">
      <alignment wrapText="1"/>
    </xf>
    <xf numFmtId="0" fontId="21" fillId="0" borderId="36" xfId="0" applyFont="1" applyFill="1" applyBorder="1" applyAlignment="1">
      <alignment horizontal="left" vertical="top" wrapText="1"/>
    </xf>
    <xf numFmtId="0" fontId="21" fillId="0" borderId="37" xfId="0" applyFont="1" applyFill="1" applyBorder="1" applyAlignment="1">
      <alignment horizontal="left" vertical="top" wrapText="1"/>
    </xf>
    <xf numFmtId="0" fontId="21" fillId="0" borderId="38" xfId="0" applyFont="1" applyFill="1" applyBorder="1" applyAlignment="1">
      <alignment horizontal="left" vertical="top" wrapText="1"/>
    </xf>
    <xf numFmtId="0" fontId="21" fillId="0" borderId="39"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40" xfId="0" applyFont="1" applyFill="1" applyBorder="1" applyAlignment="1">
      <alignment horizontal="left" vertical="top" wrapText="1"/>
    </xf>
    <xf numFmtId="0" fontId="1" fillId="6" borderId="11" xfId="1" applyFont="1" applyFill="1" applyBorder="1" applyAlignment="1">
      <alignment horizontal="center" vertical="center"/>
    </xf>
    <xf numFmtId="0" fontId="1" fillId="6" borderId="12" xfId="1" applyFont="1" applyFill="1" applyBorder="1" applyAlignment="1">
      <alignment horizontal="center" vertical="center"/>
    </xf>
    <xf numFmtId="0" fontId="0" fillId="2" borderId="3" xfId="0" applyFont="1" applyFill="1" applyBorder="1" applyAlignment="1">
      <alignment horizontal="left" vertical="top" wrapText="1"/>
    </xf>
    <xf numFmtId="0" fontId="1" fillId="3" borderId="34" xfId="0" applyFont="1" applyFill="1" applyBorder="1" applyAlignment="1">
      <alignment horizontal="left" vertical="center"/>
    </xf>
    <xf numFmtId="0" fontId="1" fillId="3" borderId="35" xfId="0" applyFont="1" applyFill="1" applyBorder="1" applyAlignment="1">
      <alignment horizontal="left" vertical="center"/>
    </xf>
    <xf numFmtId="0" fontId="1" fillId="4" borderId="32"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3" borderId="31" xfId="0" applyFont="1" applyFill="1" applyBorder="1" applyAlignment="1">
      <alignment horizontal="left" vertical="center"/>
    </xf>
    <xf numFmtId="0" fontId="1" fillId="3" borderId="13" xfId="0" applyFont="1" applyFill="1" applyBorder="1" applyAlignment="1">
      <alignment horizontal="left" vertical="center"/>
    </xf>
    <xf numFmtId="0" fontId="1" fillId="3" borderId="19" xfId="0" applyFont="1" applyFill="1" applyBorder="1" applyAlignment="1">
      <alignment horizontal="left" vertical="center"/>
    </xf>
    <xf numFmtId="0" fontId="0" fillId="0" borderId="26" xfId="0" applyFont="1" applyFill="1" applyBorder="1" applyAlignment="1">
      <alignment horizontal="left" vertical="top" wrapText="1"/>
    </xf>
    <xf numFmtId="0" fontId="0" fillId="0" borderId="24" xfId="0" applyFont="1" applyFill="1" applyBorder="1" applyAlignment="1">
      <alignment horizontal="left" vertical="top" wrapText="1"/>
    </xf>
    <xf numFmtId="0" fontId="10" fillId="0" borderId="18" xfId="0" applyFont="1" applyBorder="1" applyAlignment="1">
      <alignment vertical="top" wrapText="1"/>
    </xf>
    <xf numFmtId="0" fontId="10" fillId="0" borderId="13" xfId="0" applyFont="1" applyBorder="1" applyAlignment="1">
      <alignment vertical="top" wrapText="1"/>
    </xf>
    <xf numFmtId="0" fontId="10" fillId="0" borderId="19" xfId="0" applyFont="1" applyBorder="1" applyAlignment="1">
      <alignment vertical="top" wrapText="1"/>
    </xf>
    <xf numFmtId="0" fontId="2" fillId="2" borderId="0" xfId="0" applyFont="1" applyFill="1" applyBorder="1" applyAlignment="1">
      <alignment horizontal="left" vertical="center"/>
    </xf>
  </cellXfs>
  <cellStyles count="3">
    <cellStyle name="Currency" xfId="2" builtinId="4"/>
    <cellStyle name="Normal" xfId="0" builtinId="0"/>
    <cellStyle name="Note" xfId="1" builtinId="10"/>
  </cellStyles>
  <dxfs count="0"/>
  <tableStyles count="0" defaultTableStyle="TableStyleMedium2" defaultPivotStyle="PivotStyleLight16"/>
  <colors>
    <mruColors>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'Draft Reference Cost'!$C$22</c:f>
              <c:strCache>
                <c:ptCount val="1"/>
                <c:pt idx="0">
                  <c:v>MWe</c:v>
                </c:pt>
              </c:strCache>
            </c:strRef>
          </c:tx>
          <c:spPr>
            <a:ln w="28575" cap="rnd">
              <a:solidFill>
                <a:schemeClr val="accent2"/>
              </a:solidFill>
              <a:round/>
            </a:ln>
            <a:effectLst/>
          </c:spPr>
          <c:marker>
            <c:symbol val="none"/>
          </c:marker>
          <c:cat>
            <c:numRef>
              <c:f>'Draft Reference Cost'!$B$23:$B$27</c:f>
              <c:numCache>
                <c:formatCode>0</c:formatCode>
                <c:ptCount val="5"/>
                <c:pt idx="0">
                  <c:v>2717</c:v>
                </c:pt>
                <c:pt idx="1">
                  <c:v>2445.3000000000002</c:v>
                </c:pt>
                <c:pt idx="2">
                  <c:v>2037.7</c:v>
                </c:pt>
                <c:pt idx="3">
                  <c:v>1358</c:v>
                </c:pt>
                <c:pt idx="4">
                  <c:v>679</c:v>
                </c:pt>
              </c:numCache>
            </c:numRef>
          </c:cat>
          <c:val>
            <c:numRef>
              <c:f>'Draft Reference Cost'!$C$23:$C$27</c:f>
              <c:numCache>
                <c:formatCode>General</c:formatCode>
                <c:ptCount val="5"/>
                <c:pt idx="0">
                  <c:v>945</c:v>
                </c:pt>
                <c:pt idx="1">
                  <c:v>851</c:v>
                </c:pt>
                <c:pt idx="2">
                  <c:v>709</c:v>
                </c:pt>
                <c:pt idx="3">
                  <c:v>453</c:v>
                </c:pt>
                <c:pt idx="4">
                  <c:v>194</c:v>
                </c:pt>
              </c:numCache>
            </c:numRef>
          </c:val>
          <c:smooth val="0"/>
          <c:extLst>
            <c:ext xmlns:c16="http://schemas.microsoft.com/office/drawing/2014/chart" uri="{C3380CC4-5D6E-409C-BE32-E72D297353CC}">
              <c16:uniqueId val="{00000001-D228-4AA8-8756-F9DE8B9A91CD}"/>
            </c:ext>
          </c:extLst>
        </c:ser>
        <c:dLbls>
          <c:showLegendKey val="0"/>
          <c:showVal val="0"/>
          <c:showCatName val="0"/>
          <c:showSerName val="0"/>
          <c:showPercent val="0"/>
          <c:showBubbleSize val="0"/>
        </c:dLbls>
        <c:smooth val="0"/>
        <c:axId val="666028904"/>
        <c:axId val="666030216"/>
      </c:lineChart>
      <c:catAx>
        <c:axId val="66602890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030216"/>
        <c:crosses val="autoZero"/>
        <c:auto val="1"/>
        <c:lblAlgn val="ctr"/>
        <c:lblOffset val="100"/>
        <c:noMultiLvlLbl val="0"/>
      </c:catAx>
      <c:valAx>
        <c:axId val="666030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028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xdr:col>
      <xdr:colOff>432635</xdr:colOff>
      <xdr:row>134</xdr:row>
      <xdr:rowOff>110959</xdr:rowOff>
    </xdr:from>
    <xdr:ext cx="2440283" cy="35856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8E715C59-E495-4FB4-AF04-044CB21557D5}"/>
                </a:ext>
              </a:extLst>
            </xdr:cNvPr>
            <xdr:cNvSpPr txBox="1"/>
          </xdr:nvSpPr>
          <xdr:spPr>
            <a:xfrm>
              <a:off x="7735135" y="26647275"/>
              <a:ext cx="2440283"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𝑇𝑜𝑡𝑎𝑙</m:t>
                    </m:r>
                    <m:r>
                      <a:rPr lang="en-US" sz="1100" b="0" i="1">
                        <a:latin typeface="Cambria Math" panose="02040503050406030204" pitchFamily="18" charset="0"/>
                      </a:rPr>
                      <m:t> </m:t>
                    </m:r>
                    <m:r>
                      <a:rPr lang="en-US" sz="1100" b="0" i="1">
                        <a:latin typeface="Cambria Math" panose="02040503050406030204" pitchFamily="18" charset="0"/>
                      </a:rPr>
                      <m:t>𝐻𝑒𝑎𝑡</m:t>
                    </m:r>
                    <m:r>
                      <a:rPr lang="en-US" sz="1100" b="0" i="1">
                        <a:latin typeface="Cambria Math" panose="02040503050406030204" pitchFamily="18" charset="0"/>
                      </a:rPr>
                      <m:t> </m:t>
                    </m:r>
                    <m:r>
                      <a:rPr lang="en-US" sz="1100" b="0" i="1">
                        <a:latin typeface="Cambria Math" panose="02040503050406030204" pitchFamily="18" charset="0"/>
                      </a:rPr>
                      <m:t>𝑅𝑎𝑡𝑒</m:t>
                    </m:r>
                    <m:r>
                      <a:rPr lang="en-US" sz="1100" b="0" i="1">
                        <a:latin typeface="Cambria Math" panose="02040503050406030204" pitchFamily="18" charset="0"/>
                      </a:rPr>
                      <m:t>=</m:t>
                    </m:r>
                    <m:f>
                      <m:fPr>
                        <m:ctrlPr>
                          <a:rPr lang="en-US" sz="1100" b="0" i="1">
                            <a:latin typeface="Cambria Math" panose="02040503050406030204" pitchFamily="18" charset="0"/>
                          </a:rPr>
                        </m:ctrlPr>
                      </m:fPr>
                      <m:num>
                        <m:r>
                          <a:rPr lang="en-US" sz="1100" b="0" i="1">
                            <a:latin typeface="Cambria Math" panose="02040503050406030204" pitchFamily="18" charset="0"/>
                          </a:rPr>
                          <m:t>𝐻𝑒𝑎𝑡</m:t>
                        </m:r>
                        <m:r>
                          <a:rPr lang="en-US" sz="1100" b="0" i="1">
                            <a:latin typeface="Cambria Math" panose="02040503050406030204" pitchFamily="18" charset="0"/>
                          </a:rPr>
                          <m:t> </m:t>
                        </m:r>
                        <m:r>
                          <a:rPr lang="en-US" sz="1100" b="0" i="1">
                            <a:latin typeface="Cambria Math" panose="02040503050406030204" pitchFamily="18" charset="0"/>
                          </a:rPr>
                          <m:t>𝐼𝑛𝑝𝑢𝑡</m:t>
                        </m:r>
                      </m:num>
                      <m:den>
                        <m:r>
                          <a:rPr lang="en-US" sz="1100" b="0" i="1">
                            <a:latin typeface="Cambria Math" panose="02040503050406030204" pitchFamily="18" charset="0"/>
                          </a:rPr>
                          <m:t>𝑁𝑒𝑡</m:t>
                        </m:r>
                        <m:r>
                          <a:rPr lang="en-US" sz="1100" b="0" i="1">
                            <a:latin typeface="Cambria Math" panose="02040503050406030204" pitchFamily="18" charset="0"/>
                          </a:rPr>
                          <m:t> </m:t>
                        </m:r>
                        <m:r>
                          <a:rPr lang="en-US" sz="1100" b="0" i="1">
                            <a:latin typeface="Cambria Math" panose="02040503050406030204" pitchFamily="18" charset="0"/>
                          </a:rPr>
                          <m:t>𝑝𝑜𝑤𝑒𝑟</m:t>
                        </m:r>
                        <m:r>
                          <a:rPr lang="en-US" sz="1100" b="0" i="1">
                            <a:latin typeface="Cambria Math" panose="02040503050406030204" pitchFamily="18" charset="0"/>
                          </a:rPr>
                          <m:t> </m:t>
                        </m:r>
                        <m:r>
                          <a:rPr lang="en-US" sz="1100" b="0" i="1">
                            <a:latin typeface="Cambria Math" panose="02040503050406030204" pitchFamily="18" charset="0"/>
                          </a:rPr>
                          <m:t>𝑜𝑢𝑡𝑝𝑢𝑡</m:t>
                        </m:r>
                        <m:r>
                          <a:rPr lang="en-US" sz="1100" b="0" i="1">
                            <a:latin typeface="Cambria Math" panose="02040503050406030204" pitchFamily="18" charset="0"/>
                          </a:rPr>
                          <m:t> </m:t>
                        </m:r>
                      </m:den>
                    </m:f>
                  </m:oMath>
                </m:oMathPara>
              </a14:m>
              <a:endParaRPr lang="en-US" sz="1100"/>
            </a:p>
          </xdr:txBody>
        </xdr:sp>
      </mc:Choice>
      <mc:Fallback xmlns="">
        <xdr:sp macro="" textlink="">
          <xdr:nvSpPr>
            <xdr:cNvPr id="2" name="TextBox 1">
              <a:extLst>
                <a:ext uri="{FF2B5EF4-FFF2-40B4-BE49-F238E27FC236}">
                  <a16:creationId xmlns:a16="http://schemas.microsoft.com/office/drawing/2014/main" id="{8E715C59-E495-4FB4-AF04-044CB21557D5}"/>
                </a:ext>
              </a:extLst>
            </xdr:cNvPr>
            <xdr:cNvSpPr txBox="1"/>
          </xdr:nvSpPr>
          <xdr:spPr>
            <a:xfrm>
              <a:off x="7735135" y="26647275"/>
              <a:ext cx="2440283" cy="358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𝑇𝑜𝑡𝑎𝑙 𝐻𝑒𝑎𝑡 𝑅𝑎𝑡𝑒=(𝐻𝑒𝑎𝑡 𝐼𝑛𝑝𝑢𝑡)/(𝑁𝑒𝑡 𝑝𝑜𝑤𝑒𝑟 𝑜𝑢𝑡𝑝𝑢𝑡 )</a:t>
              </a:r>
              <a:endParaRPr lang="en-US" sz="1100"/>
            </a:p>
          </xdr:txBody>
        </xdr:sp>
      </mc:Fallback>
    </mc:AlternateContent>
    <xdr:clientData/>
  </xdr:oneCellAnchor>
  <xdr:oneCellAnchor>
    <xdr:from>
      <xdr:col>3</xdr:col>
      <xdr:colOff>90069</xdr:colOff>
      <xdr:row>138</xdr:row>
      <xdr:rowOff>1013325</xdr:rowOff>
    </xdr:from>
    <xdr:ext cx="3628023" cy="321435"/>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CDF8B59B-DB70-4D7D-9B1B-ED6284ED09BE}"/>
                </a:ext>
              </a:extLst>
            </xdr:cNvPr>
            <xdr:cNvSpPr txBox="1"/>
          </xdr:nvSpPr>
          <xdr:spPr>
            <a:xfrm>
              <a:off x="7392569" y="29220693"/>
              <a:ext cx="3628023" cy="321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𝑃𝑒𝑟𝑓𝑜𝑟𝑚𝑎𝑛𝑐𝑒</m:t>
                    </m:r>
                    <m:r>
                      <a:rPr lang="en-US" sz="1100" b="0" i="1">
                        <a:latin typeface="Cambria Math" panose="02040503050406030204" pitchFamily="18" charset="0"/>
                      </a:rPr>
                      <m:t> </m:t>
                    </m:r>
                    <m:r>
                      <a:rPr lang="en-US" sz="1100" b="0" i="1">
                        <a:latin typeface="Cambria Math" panose="02040503050406030204" pitchFamily="18" charset="0"/>
                      </a:rPr>
                      <m:t>𝐹𝑎𝑐𝑡𝑜𝑟</m:t>
                    </m:r>
                    <m:r>
                      <a:rPr lang="en-US" sz="1100" b="0" i="1">
                        <a:latin typeface="Cambria Math" panose="02040503050406030204" pitchFamily="18" charset="0"/>
                      </a:rPr>
                      <m:t>=</m:t>
                    </m:r>
                    <m:f>
                      <m:fPr>
                        <m:ctrlPr>
                          <a:rPr lang="en-US" sz="1100" b="0" i="1">
                            <a:latin typeface="Cambria Math" panose="02040503050406030204" pitchFamily="18" charset="0"/>
                          </a:rPr>
                        </m:ctrlPr>
                      </m:fPr>
                      <m:num>
                        <m:r>
                          <a:rPr lang="en-US" sz="1100" b="0" i="1">
                            <a:latin typeface="Cambria Math" panose="02040503050406030204" pitchFamily="18" charset="0"/>
                          </a:rPr>
                          <m:t>𝑇𝑜𝑡𝑎𝑙</m:t>
                        </m:r>
                        <m:r>
                          <a:rPr lang="en-US" sz="1100" b="0" i="1">
                            <a:latin typeface="Cambria Math" panose="02040503050406030204" pitchFamily="18" charset="0"/>
                          </a:rPr>
                          <m:t> </m:t>
                        </m:r>
                        <m:r>
                          <a:rPr lang="en-US" sz="1100" b="0" i="1">
                            <a:latin typeface="Cambria Math" panose="02040503050406030204" pitchFamily="18" charset="0"/>
                          </a:rPr>
                          <m:t>𝐴𝑐𝑡𝑢𝑎𝑙</m:t>
                        </m:r>
                        <m:r>
                          <a:rPr lang="en-US" sz="1100" b="0" i="1">
                            <a:latin typeface="Cambria Math" panose="02040503050406030204" pitchFamily="18" charset="0"/>
                          </a:rPr>
                          <m:t> </m:t>
                        </m:r>
                        <m:r>
                          <a:rPr lang="en-US" sz="1100" b="0" i="1">
                            <a:latin typeface="Cambria Math" panose="02040503050406030204" pitchFamily="18" charset="0"/>
                          </a:rPr>
                          <m:t>𝐹𝑢𝑒𝑙</m:t>
                        </m:r>
                        <m:r>
                          <a:rPr lang="en-US" sz="1100" b="0" i="1">
                            <a:latin typeface="Cambria Math" panose="02040503050406030204" pitchFamily="18" charset="0"/>
                          </a:rPr>
                          <m:t> </m:t>
                        </m:r>
                        <m:r>
                          <a:rPr lang="en-US" sz="1100" b="0" i="1">
                            <a:latin typeface="Cambria Math" panose="02040503050406030204" pitchFamily="18" charset="0"/>
                          </a:rPr>
                          <m:t>𝐶𝑜𝑛𝑠𝑢𝑚𝑒𝑑</m:t>
                        </m:r>
                      </m:num>
                      <m:den>
                        <m:r>
                          <a:rPr lang="en-US" sz="1100" b="0" i="1">
                            <a:latin typeface="Cambria Math" panose="02040503050406030204" pitchFamily="18" charset="0"/>
                          </a:rPr>
                          <m:t>𝑇𝑜𝑡𝑎𝑙</m:t>
                        </m:r>
                        <m:r>
                          <a:rPr lang="en-US" sz="1100" b="0" i="1">
                            <a:latin typeface="Cambria Math" panose="02040503050406030204" pitchFamily="18" charset="0"/>
                          </a:rPr>
                          <m:t> </m:t>
                        </m:r>
                        <m:r>
                          <a:rPr lang="en-US" sz="1100" b="0" i="1">
                            <a:latin typeface="Cambria Math" panose="02040503050406030204" pitchFamily="18" charset="0"/>
                          </a:rPr>
                          <m:t>𝑇h𝑒𝑜𝑟𝑒𝑡𝑖𝑐𝑎𝑙</m:t>
                        </m:r>
                        <m:r>
                          <a:rPr lang="en-US" sz="1100" b="0" i="1">
                            <a:latin typeface="Cambria Math" panose="02040503050406030204" pitchFamily="18" charset="0"/>
                          </a:rPr>
                          <m:t> </m:t>
                        </m:r>
                        <m:r>
                          <a:rPr lang="en-US" sz="1100" b="0" i="1">
                            <a:latin typeface="Cambria Math" panose="02040503050406030204" pitchFamily="18" charset="0"/>
                          </a:rPr>
                          <m:t>𝐹𝑢𝑒𝑙</m:t>
                        </m:r>
                        <m:r>
                          <a:rPr lang="en-US" sz="1100" b="0" i="1">
                            <a:latin typeface="Cambria Math" panose="02040503050406030204" pitchFamily="18" charset="0"/>
                          </a:rPr>
                          <m:t> </m:t>
                        </m:r>
                        <m:r>
                          <a:rPr lang="en-US" sz="1100" b="0" i="1">
                            <a:latin typeface="Cambria Math" panose="02040503050406030204" pitchFamily="18" charset="0"/>
                          </a:rPr>
                          <m:t>𝐶𝑜𝑛𝑠𝑢𝑚𝑒𝑑</m:t>
                        </m:r>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CDF8B59B-DB70-4D7D-9B1B-ED6284ED09BE}"/>
                </a:ext>
              </a:extLst>
            </xdr:cNvPr>
            <xdr:cNvSpPr txBox="1"/>
          </xdr:nvSpPr>
          <xdr:spPr>
            <a:xfrm>
              <a:off x="7392569" y="29220693"/>
              <a:ext cx="3628023" cy="321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0" i="0">
                  <a:latin typeface="Cambria Math" panose="02040503050406030204" pitchFamily="18" charset="0"/>
                </a:rPr>
                <a:t>𝑃𝑒𝑟𝑓𝑜𝑟𝑚𝑎𝑛𝑐𝑒 𝐹𝑎𝑐𝑡𝑜𝑟=(𝑇𝑜𝑡𝑎𝑙 𝐴𝑐𝑡𝑢𝑎𝑙 𝐹𝑢𝑒𝑙 𝐶𝑜𝑛𝑠𝑢𝑚𝑒𝑑)/(𝑇𝑜𝑡𝑎𝑙 𝑇ℎ𝑒𝑜𝑟𝑒𝑡𝑖𝑐𝑎𝑙 𝐹𝑢𝑒𝑙 𝐶𝑜𝑛𝑠𝑢𝑚𝑒𝑑)</a:t>
              </a:r>
              <a:endParaRPr lang="en-US" sz="1100"/>
            </a:p>
          </xdr:txBody>
        </xdr:sp>
      </mc:Fallback>
    </mc:AlternateContent>
    <xdr:clientData/>
  </xdr:oneCellAnchor>
  <xdr:oneCellAnchor>
    <xdr:from>
      <xdr:col>2</xdr:col>
      <xdr:colOff>2822239</xdr:colOff>
      <xdr:row>153</xdr:row>
      <xdr:rowOff>643355</xdr:rowOff>
    </xdr:from>
    <xdr:ext cx="3970589" cy="337593"/>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E7441E3-A9F9-400C-A865-F7DE04756A38}"/>
                </a:ext>
              </a:extLst>
            </xdr:cNvPr>
            <xdr:cNvSpPr txBox="1"/>
          </xdr:nvSpPr>
          <xdr:spPr>
            <a:xfrm>
              <a:off x="7242173" y="28783881"/>
              <a:ext cx="3970589" cy="337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𝑇𝑜𝑡𝑎𝑙</m:t>
                    </m:r>
                    <m:r>
                      <a:rPr lang="en-US" sz="1100" b="0" i="1">
                        <a:latin typeface="Cambria Math" panose="02040503050406030204" pitchFamily="18" charset="0"/>
                      </a:rPr>
                      <m:t> </m:t>
                    </m:r>
                    <m:r>
                      <a:rPr lang="en-US" sz="1100" b="0" i="1">
                        <a:latin typeface="Cambria Math" panose="02040503050406030204" pitchFamily="18" charset="0"/>
                      </a:rPr>
                      <m:t>𝐹𝑢𝑒𝑙</m:t>
                    </m:r>
                    <m:r>
                      <a:rPr lang="en-US" sz="1100" b="0" i="1">
                        <a:latin typeface="Cambria Math" panose="02040503050406030204" pitchFamily="18" charset="0"/>
                      </a:rPr>
                      <m:t> </m:t>
                    </m:r>
                    <m:r>
                      <a:rPr lang="en-US" sz="1100" b="0" i="1">
                        <a:latin typeface="Cambria Math" panose="02040503050406030204" pitchFamily="18" charset="0"/>
                      </a:rPr>
                      <m:t>𝑅𝑒𝑙𝑎𝑡𝑒𝑑</m:t>
                    </m:r>
                    <m:r>
                      <a:rPr lang="en-US" sz="1100" b="0" i="1">
                        <a:latin typeface="Cambria Math" panose="02040503050406030204" pitchFamily="18" charset="0"/>
                      </a:rPr>
                      <m:t> </m:t>
                    </m:r>
                    <m:r>
                      <a:rPr lang="en-US" sz="1100" b="0" i="1">
                        <a:latin typeface="Cambria Math" panose="02040503050406030204" pitchFamily="18" charset="0"/>
                      </a:rPr>
                      <m:t>𝐶𝑜𝑠𝑡</m:t>
                    </m:r>
                    <m:r>
                      <a:rPr lang="en-US" sz="1100" b="0" i="1">
                        <a:latin typeface="Cambria Math" panose="02040503050406030204" pitchFamily="18" charset="0"/>
                      </a:rPr>
                      <m:t>=</m:t>
                    </m:r>
                    <m:r>
                      <a:rPr lang="en-US" sz="1100" b="0" i="1">
                        <a:latin typeface="Cambria Math" panose="02040503050406030204" pitchFamily="18" charset="0"/>
                      </a:rPr>
                      <m:t>𝐹𝑢𝑒𝑙</m:t>
                    </m:r>
                    <m:r>
                      <a:rPr lang="en-US" sz="1100" b="0" i="1">
                        <a:latin typeface="Cambria Math" panose="02040503050406030204" pitchFamily="18" charset="0"/>
                      </a:rPr>
                      <m:t> </m:t>
                    </m:r>
                    <m:r>
                      <a:rPr lang="en-US" sz="1100" b="0" i="1">
                        <a:latin typeface="Cambria Math" panose="02040503050406030204" pitchFamily="18" charset="0"/>
                      </a:rPr>
                      <m:t>𝑐𝑜𝑠𝑡</m:t>
                    </m:r>
                    <m:r>
                      <a:rPr lang="en-US" sz="1100" b="0" i="1">
                        <a:latin typeface="Cambria Math" panose="02040503050406030204" pitchFamily="18" charset="0"/>
                      </a:rPr>
                      <m:t>+</m:t>
                    </m:r>
                    <m:r>
                      <a:rPr lang="en-US" sz="1100" b="0" i="1">
                        <a:latin typeface="Cambria Math" panose="02040503050406030204" pitchFamily="18" charset="0"/>
                      </a:rPr>
                      <m:t>𝑂𝑝𝑒𝑟𝑎𝑡𝑖𝑛𝑔</m:t>
                    </m:r>
                    <m:r>
                      <a:rPr lang="en-US" sz="1100" b="0" i="1">
                        <a:latin typeface="Cambria Math" panose="02040503050406030204" pitchFamily="18" charset="0"/>
                      </a:rPr>
                      <m:t> </m:t>
                    </m:r>
                    <m:r>
                      <a:rPr lang="en-US" sz="1100" b="0" i="1">
                        <a:latin typeface="Cambria Math" panose="02040503050406030204" pitchFamily="18" charset="0"/>
                      </a:rPr>
                      <m:t>𝐶𝑜𝑠𝑡</m:t>
                    </m:r>
                    <m:r>
                      <a:rPr lang="en-US" sz="1100" b="0" i="1">
                        <a:latin typeface="Cambria Math" panose="02040503050406030204" pitchFamily="18" charset="0"/>
                      </a:rPr>
                      <m:t>+ </m:t>
                    </m:r>
                    <m:r>
                      <a:rPr lang="en-US" sz="1100" b="0" i="1">
                        <a:latin typeface="Cambria Math" panose="02040503050406030204" pitchFamily="18" charset="0"/>
                      </a:rPr>
                      <m:t>𝑀𝑎𝑖𝑛𝑡𝑒𝑛𝑎𝑛𝑐𝑒</m:t>
                    </m:r>
                    <m:r>
                      <a:rPr lang="en-US" sz="1100" b="0" i="1">
                        <a:latin typeface="Cambria Math" panose="02040503050406030204" pitchFamily="18" charset="0"/>
                      </a:rPr>
                      <m:t> </m:t>
                    </m:r>
                    <m:r>
                      <a:rPr lang="en-US" sz="1100" b="0" i="1">
                        <a:latin typeface="Cambria Math" panose="02040503050406030204" pitchFamily="18" charset="0"/>
                      </a:rPr>
                      <m:t>𝑎𝑑𝑑𝑒𝑟</m:t>
                    </m:r>
                    <m:r>
                      <a:rPr lang="en-US" sz="1100" b="0" i="1">
                        <a:latin typeface="Cambria Math" panose="02040503050406030204" pitchFamily="18" charset="0"/>
                      </a:rPr>
                      <m:t> </m:t>
                    </m:r>
                  </m:oMath>
                </m:oMathPara>
              </a14:m>
              <a:endParaRPr lang="en-US" sz="1100"/>
            </a:p>
          </xdr:txBody>
        </xdr:sp>
      </mc:Choice>
      <mc:Fallback xmlns="">
        <xdr:sp macro="" textlink="">
          <xdr:nvSpPr>
            <xdr:cNvPr id="5" name="TextBox 4">
              <a:extLst>
                <a:ext uri="{FF2B5EF4-FFF2-40B4-BE49-F238E27FC236}">
                  <a16:creationId xmlns:a16="http://schemas.microsoft.com/office/drawing/2014/main" id="{0E7441E3-A9F9-400C-A865-F7DE04756A38}"/>
                </a:ext>
              </a:extLst>
            </xdr:cNvPr>
            <xdr:cNvSpPr txBox="1"/>
          </xdr:nvSpPr>
          <xdr:spPr>
            <a:xfrm>
              <a:off x="7242173" y="28783881"/>
              <a:ext cx="3970589" cy="337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latin typeface="Cambria Math" panose="02040503050406030204" pitchFamily="18" charset="0"/>
                </a:rPr>
                <a:t>𝑇𝑜𝑡𝑎𝑙 𝐹𝑢𝑒𝑙 𝑅𝑒𝑙𝑎𝑡𝑒𝑑 𝐶𝑜𝑠𝑡=𝐹𝑢𝑒𝑙 𝑐𝑜𝑠𝑡+𝑂𝑝𝑒𝑟𝑎𝑡𝑖𝑛𝑔 𝐶𝑜𝑠𝑡+ 𝑀𝑎𝑖𝑛𝑡𝑒𝑛𝑎𝑛𝑐𝑒 𝑎𝑑𝑑𝑒𝑟 </a:t>
              </a:r>
              <a:endParaRPr lang="en-US" sz="1100"/>
            </a:p>
          </xdr:txBody>
        </xdr:sp>
      </mc:Fallback>
    </mc:AlternateContent>
    <xdr:clientData/>
  </xdr:oneCellAnchor>
  <xdr:oneCellAnchor>
    <xdr:from>
      <xdr:col>3</xdr:col>
      <xdr:colOff>223754</xdr:colOff>
      <xdr:row>163</xdr:row>
      <xdr:rowOff>1222208</xdr:rowOff>
    </xdr:from>
    <xdr:ext cx="3522696" cy="17222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3BC3681B-D1C6-46CC-A961-98322E4298F9}"/>
                </a:ext>
              </a:extLst>
            </xdr:cNvPr>
            <xdr:cNvSpPr txBox="1"/>
          </xdr:nvSpPr>
          <xdr:spPr>
            <a:xfrm>
              <a:off x="7526254" y="39556155"/>
              <a:ext cx="35226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𝑁𝑜</m:t>
                    </m:r>
                    <m:r>
                      <a:rPr lang="en-US" sz="1100" b="0" i="1">
                        <a:latin typeface="Cambria Math" panose="02040503050406030204" pitchFamily="18" charset="0"/>
                      </a:rPr>
                      <m:t> </m:t>
                    </m:r>
                    <m:r>
                      <a:rPr lang="en-US" sz="1100" b="0" i="1">
                        <a:latin typeface="Cambria Math" panose="02040503050406030204" pitchFamily="18" charset="0"/>
                      </a:rPr>
                      <m:t>𝐿𝑜𝑎𝑑</m:t>
                    </m:r>
                    <m:r>
                      <a:rPr lang="en-US" sz="1100" b="0" i="1">
                        <a:latin typeface="Cambria Math" panose="02040503050406030204" pitchFamily="18" charset="0"/>
                      </a:rPr>
                      <m:t> </m:t>
                    </m:r>
                    <m:r>
                      <a:rPr lang="en-US" sz="1100" b="0" i="1">
                        <a:latin typeface="Cambria Math" panose="02040503050406030204" pitchFamily="18" charset="0"/>
                      </a:rPr>
                      <m:t>𝐶𝑜𝑠𝑡</m:t>
                    </m:r>
                    <m:r>
                      <a:rPr lang="en-US" sz="1100" b="0" i="1">
                        <a:latin typeface="Cambria Math" panose="02040503050406030204" pitchFamily="18" charset="0"/>
                      </a:rPr>
                      <m:t>=(</m:t>
                    </m:r>
                    <m:r>
                      <a:rPr lang="en-US" sz="1100" b="0" i="1">
                        <a:latin typeface="Cambria Math" panose="02040503050406030204" pitchFamily="18" charset="0"/>
                      </a:rPr>
                      <m:t>𝑁𝑜</m:t>
                    </m:r>
                    <m:r>
                      <a:rPr lang="en-US" sz="1100" b="0" i="1">
                        <a:latin typeface="Cambria Math" panose="02040503050406030204" pitchFamily="18" charset="0"/>
                      </a:rPr>
                      <m:t> </m:t>
                    </m:r>
                    <m:r>
                      <a:rPr lang="en-US" sz="1100" b="0" i="1">
                        <a:latin typeface="Cambria Math" panose="02040503050406030204" pitchFamily="18" charset="0"/>
                      </a:rPr>
                      <m:t>𝐿𝑜𝑎𝑑</m:t>
                    </m:r>
                    <m:r>
                      <a:rPr lang="en-US" sz="1100" b="0" i="1">
                        <a:latin typeface="Cambria Math" panose="02040503050406030204" pitchFamily="18" charset="0"/>
                      </a:rPr>
                      <m:t> </m:t>
                    </m:r>
                    <m:r>
                      <a:rPr lang="en-US" sz="1100" b="0" i="1">
                        <a:latin typeface="Cambria Math" panose="02040503050406030204" pitchFamily="18" charset="0"/>
                      </a:rPr>
                      <m:t>𝐹𝑢𝑒𝑙</m:t>
                    </m:r>
                    <m:r>
                      <a:rPr lang="en-US" sz="1100" b="0" i="1">
                        <a:latin typeface="Cambria Math" panose="02040503050406030204" pitchFamily="18" charset="0"/>
                      </a:rPr>
                      <m:t> ∗</m:t>
                    </m:r>
                    <m:r>
                      <a:rPr lang="en-US" sz="1100" b="0" i="1">
                        <a:latin typeface="Cambria Math" panose="02040503050406030204" pitchFamily="18" charset="0"/>
                      </a:rPr>
                      <m:t>𝑃𝑒𝑟𝑓𝑜𝑟𝑚𝑎𝑛𝑐𝑒</m:t>
                    </m:r>
                    <m:r>
                      <a:rPr lang="en-US" sz="1100" b="0" i="1">
                        <a:latin typeface="Cambria Math" panose="02040503050406030204" pitchFamily="18" charset="0"/>
                      </a:rPr>
                      <m:t>∗</m:t>
                    </m:r>
                    <m:r>
                      <a:rPr lang="en-US" sz="1100" b="0" i="1">
                        <a:latin typeface="Cambria Math" panose="02040503050406030204" pitchFamily="18" charset="0"/>
                      </a:rPr>
                      <m:t>𝑇𝐹𝑅𝐶</m:t>
                    </m:r>
                    <m:r>
                      <a:rPr lang="en-US" sz="1100" b="0" i="1">
                        <a:latin typeface="Cambria Math" panose="02040503050406030204" pitchFamily="18" charset="0"/>
                      </a:rPr>
                      <m:t>)</m:t>
                    </m:r>
                  </m:oMath>
                </m:oMathPara>
              </a14:m>
              <a:endParaRPr lang="en-US" sz="1100"/>
            </a:p>
          </xdr:txBody>
        </xdr:sp>
      </mc:Choice>
      <mc:Fallback xmlns="">
        <xdr:sp macro="" textlink="">
          <xdr:nvSpPr>
            <xdr:cNvPr id="6" name="TextBox 5">
              <a:extLst>
                <a:ext uri="{FF2B5EF4-FFF2-40B4-BE49-F238E27FC236}">
                  <a16:creationId xmlns:a16="http://schemas.microsoft.com/office/drawing/2014/main" id="{3BC3681B-D1C6-46CC-A961-98322E4298F9}"/>
                </a:ext>
              </a:extLst>
            </xdr:cNvPr>
            <xdr:cNvSpPr txBox="1"/>
          </xdr:nvSpPr>
          <xdr:spPr>
            <a:xfrm>
              <a:off x="7526254" y="39556155"/>
              <a:ext cx="35226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𝑁𝑜 𝐿𝑜𝑎𝑑 𝐶𝑜𝑠𝑡=(𝑁𝑜 𝐿𝑜𝑎𝑑 𝐹𝑢𝑒𝑙 ∗𝑃𝑒𝑟𝑓𝑜𝑟𝑚𝑎𝑛𝑐𝑒∗𝑇𝐹𝑅𝐶)</a:t>
              </a:r>
              <a:endParaRPr lang="en-US" sz="1100"/>
            </a:p>
          </xdr:txBody>
        </xdr:sp>
      </mc:Fallback>
    </mc:AlternateContent>
    <xdr:clientData/>
  </xdr:oneCellAnchor>
  <xdr:twoCellAnchor editAs="oneCell">
    <xdr:from>
      <xdr:col>3</xdr:col>
      <xdr:colOff>183816</xdr:colOff>
      <xdr:row>170</xdr:row>
      <xdr:rowOff>718553</xdr:rowOff>
    </xdr:from>
    <xdr:to>
      <xdr:col>3</xdr:col>
      <xdr:colOff>3707625</xdr:colOff>
      <xdr:row>170</xdr:row>
      <xdr:rowOff>1150298</xdr:rowOff>
    </xdr:to>
    <xdr:pic>
      <xdr:nvPicPr>
        <xdr:cNvPr id="7" name="Picture 6">
          <a:extLst>
            <a:ext uri="{FF2B5EF4-FFF2-40B4-BE49-F238E27FC236}">
              <a16:creationId xmlns:a16="http://schemas.microsoft.com/office/drawing/2014/main" id="{0C839099-AB3F-4AC9-8B51-6A5466E228A8}"/>
            </a:ext>
          </a:extLst>
        </xdr:cNvPr>
        <xdr:cNvPicPr>
          <a:picLocks noChangeAspect="1"/>
        </xdr:cNvPicPr>
      </xdr:nvPicPr>
      <xdr:blipFill>
        <a:blip xmlns:r="http://schemas.openxmlformats.org/officeDocument/2006/relationships" r:embed="rId1"/>
        <a:stretch>
          <a:fillRect/>
        </a:stretch>
      </xdr:blipFill>
      <xdr:spPr>
        <a:xfrm>
          <a:off x="7486316" y="38835264"/>
          <a:ext cx="3523809" cy="438095"/>
        </a:xfrm>
        <a:prstGeom prst="rect">
          <a:avLst/>
        </a:prstGeom>
      </xdr:spPr>
    </xdr:pic>
    <xdr:clientData/>
  </xdr:twoCellAnchor>
  <xdr:twoCellAnchor editAs="oneCell">
    <xdr:from>
      <xdr:col>3</xdr:col>
      <xdr:colOff>417764</xdr:colOff>
      <xdr:row>176</xdr:row>
      <xdr:rowOff>16246</xdr:rowOff>
    </xdr:from>
    <xdr:to>
      <xdr:col>4</xdr:col>
      <xdr:colOff>1512</xdr:colOff>
      <xdr:row>176</xdr:row>
      <xdr:rowOff>654122</xdr:rowOff>
    </xdr:to>
    <xdr:pic>
      <xdr:nvPicPr>
        <xdr:cNvPr id="8" name="Picture 7">
          <a:extLst>
            <a:ext uri="{FF2B5EF4-FFF2-40B4-BE49-F238E27FC236}">
              <a16:creationId xmlns:a16="http://schemas.microsoft.com/office/drawing/2014/main" id="{B10DFD57-C86C-4493-A2E0-6287B1C197B0}"/>
            </a:ext>
          </a:extLst>
        </xdr:cNvPr>
        <xdr:cNvPicPr>
          <a:picLocks noChangeAspect="1"/>
        </xdr:cNvPicPr>
      </xdr:nvPicPr>
      <xdr:blipFill>
        <a:blip xmlns:r="http://schemas.openxmlformats.org/officeDocument/2006/relationships" r:embed="rId2"/>
        <a:stretch>
          <a:fillRect/>
        </a:stretch>
      </xdr:blipFill>
      <xdr:spPr>
        <a:xfrm>
          <a:off x="7720264" y="40338746"/>
          <a:ext cx="3384223" cy="644226"/>
        </a:xfrm>
        <a:prstGeom prst="rect">
          <a:avLst/>
        </a:prstGeom>
      </xdr:spPr>
    </xdr:pic>
    <xdr:clientData/>
  </xdr:twoCellAnchor>
  <xdr:twoCellAnchor>
    <xdr:from>
      <xdr:col>4</xdr:col>
      <xdr:colOff>137027</xdr:colOff>
      <xdr:row>13</xdr:row>
      <xdr:rowOff>20554</xdr:rowOff>
    </xdr:from>
    <xdr:to>
      <xdr:col>5</xdr:col>
      <xdr:colOff>690146</xdr:colOff>
      <xdr:row>28</xdr:row>
      <xdr:rowOff>6517</xdr:rowOff>
    </xdr:to>
    <xdr:graphicFrame macro="">
      <xdr:nvGraphicFramePr>
        <xdr:cNvPr id="9" name="Chart 9">
          <a:extLst>
            <a:ext uri="{FF2B5EF4-FFF2-40B4-BE49-F238E27FC236}">
              <a16:creationId xmlns:a16="http://schemas.microsoft.com/office/drawing/2014/main" id="{D0BD01DD-755E-4E6B-8C1F-9C7D6A399D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879230</xdr:colOff>
      <xdr:row>14</xdr:row>
      <xdr:rowOff>904876</xdr:rowOff>
    </xdr:from>
    <xdr:ext cx="7464669" cy="553182"/>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14E7AC97-13D4-47C9-8BC2-B6FCCF97699A}"/>
                </a:ext>
              </a:extLst>
            </xdr:cNvPr>
            <xdr:cNvSpPr txBox="1"/>
          </xdr:nvSpPr>
          <xdr:spPr>
            <a:xfrm>
              <a:off x="4469422" y="12928357"/>
              <a:ext cx="7464669" cy="553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r>
                    <a:rPr lang="en-US" sz="1100" b="0" i="1">
                      <a:latin typeface="Cambria Math" panose="02040503050406030204" pitchFamily="18" charset="0"/>
                    </a:rPr>
                    <m:t>𝑆𝑡𝑎𝑟𝑡</m:t>
                  </m:r>
                  <m:r>
                    <a:rPr lang="en-US" sz="1100" b="0" i="1">
                      <a:latin typeface="Cambria Math" panose="02040503050406030204" pitchFamily="18" charset="0"/>
                    </a:rPr>
                    <m:t>−</m:t>
                  </m:r>
                  <m:r>
                    <a:rPr lang="en-US" sz="1100" b="0" i="1">
                      <a:latin typeface="Cambria Math" panose="02040503050406030204" pitchFamily="18" charset="0"/>
                    </a:rPr>
                    <m:t>𝑢𝑝</m:t>
                  </m:r>
                  <m:r>
                    <a:rPr lang="en-US" sz="1100" b="0" i="1">
                      <a:latin typeface="Cambria Math" panose="02040503050406030204" pitchFamily="18" charset="0"/>
                    </a:rPr>
                    <m:t> </m:t>
                  </m:r>
                  <m:r>
                    <a:rPr lang="en-US" sz="1100" b="0" i="1">
                      <a:latin typeface="Cambria Math" panose="02040503050406030204" pitchFamily="18" charset="0"/>
                    </a:rPr>
                    <m:t>𝐶𝑜𝑠𝑡</m:t>
                  </m:r>
                  <m:r>
                    <a:rPr lang="en-US" sz="1100" b="0" i="1">
                      <a:latin typeface="Cambria Math" panose="02040503050406030204" pitchFamily="18" charset="0"/>
                    </a:rPr>
                    <m:t> </m:t>
                  </m:r>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m:t>
                          </m:r>
                        </m:num>
                        <m:den>
                          <m:r>
                            <a:rPr lang="en-US" sz="1100" b="0" i="1">
                              <a:latin typeface="Cambria Math" panose="02040503050406030204" pitchFamily="18" charset="0"/>
                            </a:rPr>
                            <m:t>𝑆𝑡𝑎𝑟𝑡</m:t>
                          </m:r>
                        </m:den>
                      </m:f>
                      <m:r>
                        <a:rPr lang="en-US" sz="1100" b="0" i="1">
                          <a:latin typeface="Cambria Math" panose="02040503050406030204" pitchFamily="18" charset="0"/>
                        </a:rPr>
                        <m:t> </m:t>
                      </m:r>
                    </m:e>
                  </m:d>
                  <m:r>
                    <a:rPr lang="en-US" sz="1100" b="0" i="1">
                      <a:latin typeface="Cambria Math" panose="02040503050406030204" pitchFamily="18" charset="0"/>
                    </a:rPr>
                    <m:t>=</m:t>
                  </m:r>
                  <m:r>
                    <a:rPr lang="en-US" sz="1100" b="0" i="1">
                      <a:latin typeface="Cambria Math" panose="02040503050406030204" pitchFamily="18" charset="0"/>
                    </a:rPr>
                    <m:t>𝑆𝑡𝑎𝑟𝑡</m:t>
                  </m:r>
                  <m:r>
                    <a:rPr lang="en-US" sz="1100" b="0" i="1">
                      <a:latin typeface="Cambria Math" panose="02040503050406030204" pitchFamily="18" charset="0"/>
                    </a:rPr>
                    <m:t> </m:t>
                  </m:r>
                  <m:r>
                    <a:rPr lang="en-US" sz="1100" b="0" i="1">
                      <a:latin typeface="Cambria Math" panose="02040503050406030204" pitchFamily="18" charset="0"/>
                    </a:rPr>
                    <m:t>𝐹𝑢𝑒𝑙</m:t>
                  </m:r>
                  <m:r>
                    <a:rPr lang="en-US" sz="1100" b="0" i="1">
                      <a:latin typeface="Cambria Math" panose="02040503050406030204" pitchFamily="18" charset="0"/>
                    </a:rPr>
                    <m:t> </m:t>
                  </m:r>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𝐾𝑔</m:t>
                          </m:r>
                          <m:r>
                            <a:rPr lang="en-US" sz="1100" b="0" i="1">
                              <a:latin typeface="Cambria Math" panose="02040503050406030204" pitchFamily="18" charset="0"/>
                            </a:rPr>
                            <m:t>(</m:t>
                          </m:r>
                          <m:r>
                            <a:rPr lang="en-US" sz="1100" b="0" i="1">
                              <a:latin typeface="Cambria Math" panose="02040503050406030204" pitchFamily="18" charset="0"/>
                            </a:rPr>
                            <m:t>𝑢</m:t>
                          </m:r>
                          <m:r>
                            <a:rPr lang="en-US" sz="1100" b="0" i="1">
                              <a:latin typeface="Cambria Math" panose="02040503050406030204" pitchFamily="18" charset="0"/>
                            </a:rPr>
                            <m:t>)</m:t>
                          </m:r>
                        </m:num>
                        <m:den>
                          <m:r>
                            <a:rPr lang="en-US" sz="1100" b="0" i="1">
                              <a:latin typeface="Cambria Math" panose="02040503050406030204" pitchFamily="18" charset="0"/>
                            </a:rPr>
                            <m:t>𝑆𝑡𝑎𝑟𝑡</m:t>
                          </m:r>
                        </m:den>
                      </m:f>
                    </m:e>
                  </m:d>
                  <m:r>
                    <a:rPr lang="en-US" sz="1100" b="0" i="1">
                      <a:latin typeface="Cambria Math" panose="02040503050406030204" pitchFamily="18" charset="0"/>
                    </a:rPr>
                    <m:t>∗</m:t>
                  </m:r>
                  <m:r>
                    <a:rPr lang="en-US" sz="1100" b="0" i="1">
                      <a:latin typeface="Cambria Math" panose="02040503050406030204" pitchFamily="18" charset="0"/>
                    </a:rPr>
                    <m:t>𝑇𝐹𝑅𝐶</m:t>
                  </m:r>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m:t>
                          </m:r>
                        </m:num>
                        <m:den>
                          <m:r>
                            <a:rPr lang="en-US" sz="1100" b="0" i="1">
                              <a:latin typeface="Cambria Math" panose="02040503050406030204" pitchFamily="18" charset="0"/>
                            </a:rPr>
                            <m:t>𝑘𝑔</m:t>
                          </m:r>
                          <m:r>
                            <a:rPr lang="en-US" sz="1100" b="0" i="1">
                              <a:latin typeface="Cambria Math" panose="02040503050406030204" pitchFamily="18" charset="0"/>
                            </a:rPr>
                            <m:t>(</m:t>
                          </m:r>
                          <m:r>
                            <a:rPr lang="en-US" sz="1100" b="0" i="1">
                              <a:latin typeface="Cambria Math" panose="02040503050406030204" pitchFamily="18" charset="0"/>
                            </a:rPr>
                            <m:t>𝑈</m:t>
                          </m:r>
                          <m:r>
                            <a:rPr lang="en-US" sz="1100" b="0" i="1">
                              <a:latin typeface="Cambria Math" panose="02040503050406030204" pitchFamily="18" charset="0"/>
                            </a:rPr>
                            <m:t>)</m:t>
                          </m:r>
                        </m:den>
                      </m:f>
                    </m:e>
                  </m:d>
                  <m:r>
                    <a:rPr lang="en-US" sz="1100" b="0" i="1">
                      <a:latin typeface="Cambria Math" panose="02040503050406030204" pitchFamily="18" charset="0"/>
                    </a:rPr>
                    <m:t>∗</m:t>
                  </m:r>
                  <m:r>
                    <a:rPr lang="en-US" sz="1100" b="0" i="1">
                      <a:latin typeface="Cambria Math" panose="02040503050406030204" pitchFamily="18" charset="0"/>
                    </a:rPr>
                    <m:t>𝑝𝑒𝑟𝑓𝑜𝑟𝑚𝑎𝑛𝑐𝑒</m:t>
                  </m:r>
                  <m:r>
                    <a:rPr lang="en-US" sz="1100" b="0" i="1">
                      <a:latin typeface="Cambria Math" panose="02040503050406030204" pitchFamily="18" charset="0"/>
                    </a:rPr>
                    <m:t> </m:t>
                  </m:r>
                  <m:r>
                    <a:rPr lang="en-US" sz="1100" b="0" i="1">
                      <a:latin typeface="Cambria Math" panose="02040503050406030204" pitchFamily="18" charset="0"/>
                    </a:rPr>
                    <m:t>𝑓𝑎𝑐𝑡𝑜𝑟</m:t>
                  </m:r>
                  <m:r>
                    <a:rPr lang="en-US" sz="1100" b="0" i="1">
                      <a:latin typeface="Cambria Math" panose="02040503050406030204" pitchFamily="18" charset="0"/>
                    </a:rPr>
                    <m:t>+</m:t>
                  </m:r>
                  <m:r>
                    <a:rPr lang="en-US" sz="1100" b="0" i="1">
                      <a:latin typeface="Cambria Math" panose="02040503050406030204" pitchFamily="18" charset="0"/>
                    </a:rPr>
                    <m:t>𝑠𝑡𝑎𝑡𝑖𝑜𝑛</m:t>
                  </m:r>
                  <m:r>
                    <a:rPr lang="en-US" sz="1100" b="0" i="1">
                      <a:latin typeface="Cambria Math" panose="02040503050406030204" pitchFamily="18" charset="0"/>
                    </a:rPr>
                    <m:t> </m:t>
                  </m:r>
                  <m:r>
                    <a:rPr lang="en-US" sz="1100" b="0" i="1">
                      <a:latin typeface="Cambria Math" panose="02040503050406030204" pitchFamily="18" charset="0"/>
                    </a:rPr>
                    <m:t>𝑠𝑒𝑟𝑣𝑖𝑐𝑒</m:t>
                  </m:r>
                  <m:r>
                    <a:rPr lang="en-US" sz="1100" b="0" i="1">
                      <a:latin typeface="Cambria Math" panose="02040503050406030204" pitchFamily="18" charset="0"/>
                    </a:rPr>
                    <m:t> </m:t>
                  </m:r>
                  <m:r>
                    <a:rPr lang="en-US" sz="1100" b="0" i="1">
                      <a:latin typeface="Cambria Math" panose="02040503050406030204" pitchFamily="18" charset="0"/>
                    </a:rPr>
                    <m:t>𝑞𝑢𝑎𝑛𝑡𝑖𝑡𝑦</m:t>
                  </m:r>
                  <m:d>
                    <m:dPr>
                      <m:ctrlPr>
                        <a:rPr lang="en-US" sz="1100" b="0" i="1">
                          <a:latin typeface="Cambria Math" panose="02040503050406030204" pitchFamily="18" charset="0"/>
                        </a:rPr>
                      </m:ctrlPr>
                    </m:dPr>
                    <m:e>
                      <m:r>
                        <a:rPr lang="en-US" sz="1100" b="0" i="1">
                          <a:latin typeface="Cambria Math" panose="02040503050406030204" pitchFamily="18" charset="0"/>
                        </a:rPr>
                        <m:t>𝑀𝑊h</m:t>
                      </m:r>
                    </m:e>
                  </m:d>
                  <m:r>
                    <a:rPr lang="en-US" sz="1100" b="0" i="1">
                      <a:latin typeface="Cambria Math" panose="02040503050406030204" pitchFamily="18" charset="0"/>
                    </a:rPr>
                    <m:t>∗</m:t>
                  </m:r>
                  <m:r>
                    <a:rPr lang="en-US" sz="1100" b="0" i="1">
                      <a:latin typeface="Cambria Math" panose="02040503050406030204" pitchFamily="18" charset="0"/>
                    </a:rPr>
                    <m:t>𝑠𝑡𝑎𝑡𝑖𝑜𝑛</m:t>
                  </m:r>
                  <m:r>
                    <a:rPr lang="en-US" sz="1100" b="0" i="1">
                      <a:latin typeface="Cambria Math" panose="02040503050406030204" pitchFamily="18" charset="0"/>
                    </a:rPr>
                    <m:t> </m:t>
                  </m:r>
                  <m:r>
                    <a:rPr lang="en-US" sz="1100" b="0" i="1">
                      <a:latin typeface="Cambria Math" panose="02040503050406030204" pitchFamily="18" charset="0"/>
                    </a:rPr>
                    <m:t>𝑠𝑒𝑟𝑣𝑖𝑐𝑒</m:t>
                  </m:r>
                  <m:r>
                    <a:rPr lang="en-US" sz="1100" b="0" i="1">
                      <a:latin typeface="Cambria Math" panose="02040503050406030204" pitchFamily="18" charset="0"/>
                    </a:rPr>
                    <m:t> </m:t>
                  </m:r>
                  <m:r>
                    <a:rPr lang="en-US" sz="1100" b="0" i="1">
                      <a:latin typeface="Cambria Math" panose="02040503050406030204" pitchFamily="18" charset="0"/>
                    </a:rPr>
                    <m:t>𝑟𝑎𝑡𝑒</m:t>
                  </m:r>
                  <m:r>
                    <a:rPr lang="en-US" sz="1100" b="0" i="1">
                      <a:latin typeface="Cambria Math" panose="02040503050406030204" pitchFamily="18" charset="0"/>
                    </a:rPr>
                    <m:t> </m:t>
                  </m:r>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m:t>
                          </m:r>
                        </m:num>
                        <m:den>
                          <m:r>
                            <a:rPr lang="en-US" sz="1100" b="0" i="1">
                              <a:latin typeface="Cambria Math" panose="02040503050406030204" pitchFamily="18" charset="0"/>
                            </a:rPr>
                            <m:t>𝑀𝑊h</m:t>
                          </m:r>
                        </m:den>
                      </m:f>
                    </m:e>
                  </m:d>
                </m:oMath>
              </a14:m>
              <a:r>
                <a:rPr lang="en-US" sz="1100"/>
                <a:t> + Maintenance Adder</a:t>
              </a:r>
              <a:r>
                <a:rPr lang="en-US" sz="1100" baseline="0"/>
                <a:t> ($/start) </a:t>
              </a:r>
              <a:endParaRPr lang="en-US" sz="1100"/>
            </a:p>
          </xdr:txBody>
        </xdr:sp>
      </mc:Choice>
      <mc:Fallback xmlns="">
        <xdr:sp macro="" textlink="">
          <xdr:nvSpPr>
            <xdr:cNvPr id="13" name="TextBox 12">
              <a:extLst>
                <a:ext uri="{FF2B5EF4-FFF2-40B4-BE49-F238E27FC236}">
                  <a16:creationId xmlns:a16="http://schemas.microsoft.com/office/drawing/2014/main" id="{14E7AC97-13D4-47C9-8BC2-B6FCCF97699A}"/>
                </a:ext>
              </a:extLst>
            </xdr:cNvPr>
            <xdr:cNvSpPr txBox="1"/>
          </xdr:nvSpPr>
          <xdr:spPr>
            <a:xfrm>
              <a:off x="4469422" y="12928357"/>
              <a:ext cx="7464669" cy="553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100" b="0" i="0">
                  <a:latin typeface="Cambria Math" panose="02040503050406030204" pitchFamily="18" charset="0"/>
                </a:rPr>
                <a:t>𝑆𝑡𝑎𝑟𝑡−𝑢𝑝 𝐶𝑜𝑠𝑡 ($/𝑆𝑡𝑎𝑟𝑡  )=𝑆𝑡𝑎𝑟𝑡 𝐹𝑢𝑒𝑙 ((𝐾𝑔(𝑢))/𝑆𝑡𝑎𝑟𝑡)∗𝑇𝐹𝑅𝐶($/(𝑘𝑔(𝑈)))∗𝑝𝑒𝑟𝑓𝑜𝑟𝑚𝑎𝑛𝑐𝑒 𝑓𝑎𝑐𝑡𝑜𝑟+𝑠𝑡𝑎𝑡𝑖𝑜𝑛 𝑠𝑒𝑟𝑣𝑖𝑐𝑒 𝑞𝑢𝑎𝑛𝑡𝑖𝑡𝑦(𝑀𝑊ℎ)∗𝑠𝑡𝑎𝑡𝑖𝑜𝑛 𝑠𝑒𝑟𝑣𝑖𝑐𝑒 𝑟𝑎𝑡𝑒 ($/𝑀𝑊ℎ)</a:t>
              </a:r>
              <a:r>
                <a:rPr lang="en-US" sz="1100"/>
                <a:t> + MaintenanceAdder</a:t>
              </a:r>
              <a:r>
                <a:rPr lang="en-US" sz="1100" baseline="0"/>
                <a:t> ($/start) </a:t>
              </a:r>
              <a:endParaRPr lang="en-US" sz="1100"/>
            </a:p>
          </xdr:txBody>
        </xdr:sp>
      </mc:Fallback>
    </mc:AlternateContent>
    <xdr:clientData/>
  </xdr:oneCellAnchor>
  <xdr:oneCellAnchor>
    <xdr:from>
      <xdr:col>2</xdr:col>
      <xdr:colOff>694531</xdr:colOff>
      <xdr:row>19</xdr:row>
      <xdr:rowOff>496094</xdr:rowOff>
    </xdr:from>
    <xdr:ext cx="6713933" cy="539688"/>
    <xdr:sp macro="" textlink="">
      <xdr:nvSpPr>
        <xdr:cNvPr id="4" name="TextBox 3">
          <a:extLst>
            <a:ext uri="{FF2B5EF4-FFF2-40B4-BE49-F238E27FC236}">
              <a16:creationId xmlns:a16="http://schemas.microsoft.com/office/drawing/2014/main" id="{7F2383F1-FDB9-4839-959C-357E055578AC}"/>
            </a:ext>
          </a:extLst>
        </xdr:cNvPr>
        <xdr:cNvSpPr txBox="1"/>
      </xdr:nvSpPr>
      <xdr:spPr>
        <a:xfrm>
          <a:off x="4454922" y="10517188"/>
          <a:ext cx="6713933" cy="539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100"/>
            <a:t>Pro Rated Start-up Cost ($/MWh) = Start Up Cost ($/Start) /  (Days Between Outages * 24 (hrs/day) * Net Electrical Output (MWh) * CF) </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734139</xdr:colOff>
      <xdr:row>3</xdr:row>
      <xdr:rowOff>38100</xdr:rowOff>
    </xdr:from>
    <xdr:to>
      <xdr:col>4</xdr:col>
      <xdr:colOff>4362450</xdr:colOff>
      <xdr:row>3</xdr:row>
      <xdr:rowOff>1668614</xdr:rowOff>
    </xdr:to>
    <xdr:pic>
      <xdr:nvPicPr>
        <xdr:cNvPr id="2" name="Picture 1" descr="An equation that determines energy offer reference level using incremental fuel consumption, total fuel related costs, performance factor, maintenance costs, operating costs, incremental third party payments, and pro-rated start-up costs."/>
        <xdr:cNvPicPr>
          <a:picLocks noChangeAspect="1"/>
        </xdr:cNvPicPr>
      </xdr:nvPicPr>
      <xdr:blipFill>
        <a:blip xmlns:r="http://schemas.openxmlformats.org/officeDocument/2006/relationships" r:embed="rId1"/>
        <a:stretch>
          <a:fillRect/>
        </a:stretch>
      </xdr:blipFill>
      <xdr:spPr>
        <a:xfrm>
          <a:off x="6096714" y="1057275"/>
          <a:ext cx="3628311" cy="16305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9"/>
  <sheetViews>
    <sheetView tabSelected="1" zoomScale="86" zoomScaleNormal="86" workbookViewId="0">
      <selection activeCell="D5" sqref="D5"/>
    </sheetView>
  </sheetViews>
  <sheetFormatPr defaultRowHeight="15"/>
  <cols>
    <col min="1" max="1" width="25.7109375" customWidth="1"/>
    <col min="2" max="2" width="16.5703125" customWidth="1"/>
    <col min="3" max="3" width="36.42578125" customWidth="1"/>
    <col min="4" max="4" width="50.140625" customWidth="1"/>
    <col min="8" max="8" width="53.140625" customWidth="1"/>
  </cols>
  <sheetData>
    <row r="1" spans="1:8" ht="18.75">
      <c r="A1" s="6" t="s">
        <v>0</v>
      </c>
      <c r="B1" s="6"/>
      <c r="C1" s="6"/>
      <c r="D1" s="6"/>
      <c r="E1" s="6"/>
      <c r="F1" s="6"/>
      <c r="G1" s="6"/>
      <c r="H1" s="6"/>
    </row>
    <row r="2" spans="1:8" ht="198.75" customHeight="1">
      <c r="A2" s="204" t="s">
        <v>361</v>
      </c>
      <c r="B2" s="204"/>
      <c r="C2" s="204"/>
      <c r="D2" s="204"/>
      <c r="E2" s="204"/>
      <c r="F2" s="204"/>
      <c r="G2" s="204"/>
      <c r="H2" s="204"/>
    </row>
    <row r="3" spans="1:8" ht="15" customHeight="1">
      <c r="A3" s="196" t="s">
        <v>318</v>
      </c>
      <c r="B3" s="197"/>
      <c r="C3" s="197"/>
      <c r="D3" s="197"/>
      <c r="E3" s="197"/>
      <c r="F3" s="197"/>
      <c r="G3" s="197"/>
      <c r="H3" s="198"/>
    </row>
    <row r="4" spans="1:8" ht="135" customHeight="1">
      <c r="A4" s="199"/>
      <c r="B4" s="200"/>
      <c r="C4" s="200"/>
      <c r="D4" s="200"/>
      <c r="E4" s="200"/>
      <c r="F4" s="200"/>
      <c r="G4" s="200"/>
      <c r="H4" s="201"/>
    </row>
    <row r="5" spans="1:8" ht="15.75" thickBot="1">
      <c r="A5" s="3"/>
      <c r="B5" s="5"/>
      <c r="D5" s="5"/>
    </row>
    <row r="6" spans="1:8">
      <c r="A6" s="14"/>
      <c r="B6" s="202" t="s">
        <v>1</v>
      </c>
      <c r="C6" s="203"/>
      <c r="D6" s="10"/>
      <c r="E6" s="10"/>
      <c r="F6" s="10"/>
      <c r="G6" s="10"/>
      <c r="H6" s="7"/>
    </row>
    <row r="7" spans="1:8">
      <c r="A7" s="13"/>
      <c r="B7" s="148" t="s">
        <v>2</v>
      </c>
      <c r="C7" s="164"/>
      <c r="D7" s="11"/>
      <c r="E7" s="11"/>
      <c r="F7" s="11"/>
      <c r="G7" s="11"/>
      <c r="H7" s="5"/>
    </row>
    <row r="8" spans="1:8">
      <c r="A8" s="13"/>
      <c r="B8" s="148" t="s">
        <v>3</v>
      </c>
      <c r="C8" s="164"/>
      <c r="D8" s="11"/>
      <c r="E8" s="11"/>
      <c r="F8" s="11"/>
      <c r="G8" s="11"/>
      <c r="H8" s="5"/>
    </row>
    <row r="9" spans="1:8">
      <c r="A9" s="13"/>
      <c r="B9" s="148" t="s">
        <v>321</v>
      </c>
      <c r="C9" s="164"/>
      <c r="D9" s="11"/>
      <c r="E9" s="11"/>
      <c r="F9" s="11"/>
      <c r="G9" s="11"/>
    </row>
    <row r="10" spans="1:8">
      <c r="A10" s="13"/>
      <c r="B10" s="148" t="s">
        <v>4</v>
      </c>
      <c r="C10" s="164" t="s">
        <v>313</v>
      </c>
      <c r="D10" s="12"/>
      <c r="E10" s="11"/>
      <c r="F10" s="11"/>
      <c r="G10" s="11"/>
    </row>
    <row r="11" spans="1:8" ht="15.75" thickBot="1">
      <c r="A11" s="15"/>
      <c r="B11" s="155" t="s">
        <v>314</v>
      </c>
      <c r="C11" s="165" t="s">
        <v>313</v>
      </c>
      <c r="D11" s="9"/>
      <c r="E11" s="8"/>
      <c r="F11" s="8"/>
      <c r="G11" s="8"/>
      <c r="H11" s="8"/>
    </row>
    <row r="13" spans="1:8">
      <c r="A13" s="186" t="s">
        <v>348</v>
      </c>
      <c r="B13" s="186"/>
      <c r="C13" s="186"/>
      <c r="D13" s="186"/>
    </row>
    <row r="14" spans="1:8" ht="15.75" thickBot="1">
      <c r="A14" s="186"/>
      <c r="B14" s="186"/>
      <c r="C14" s="186"/>
      <c r="D14" s="186"/>
    </row>
    <row r="15" spans="1:8">
      <c r="A15" s="187" t="s">
        <v>349</v>
      </c>
      <c r="B15" s="188" t="s">
        <v>350</v>
      </c>
      <c r="C15" s="188" t="s">
        <v>231</v>
      </c>
      <c r="D15" s="189" t="s">
        <v>351</v>
      </c>
    </row>
    <row r="16" spans="1:8" ht="60">
      <c r="A16" s="190" t="s">
        <v>352</v>
      </c>
      <c r="B16" s="191"/>
      <c r="C16" s="191" t="s">
        <v>353</v>
      </c>
      <c r="D16" s="192"/>
    </row>
    <row r="17" spans="1:4" ht="90">
      <c r="A17" s="190" t="s">
        <v>354</v>
      </c>
      <c r="B17" s="191"/>
      <c r="C17" s="191" t="s">
        <v>355</v>
      </c>
      <c r="D17" s="192"/>
    </row>
    <row r="18" spans="1:4" ht="90">
      <c r="A18" s="190" t="s">
        <v>356</v>
      </c>
      <c r="B18" s="191"/>
      <c r="C18" s="191" t="s">
        <v>357</v>
      </c>
      <c r="D18" s="192"/>
    </row>
    <row r="19" spans="1:4" ht="270.75" thickBot="1">
      <c r="A19" s="193" t="s">
        <v>358</v>
      </c>
      <c r="B19" s="194"/>
      <c r="C19" s="194" t="s">
        <v>359</v>
      </c>
      <c r="D19" s="195" t="s">
        <v>360</v>
      </c>
    </row>
  </sheetData>
  <mergeCells count="3">
    <mergeCell ref="A3:H4"/>
    <mergeCell ref="B6:C6"/>
    <mergeCell ref="A2:H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24"/>
  <sheetViews>
    <sheetView zoomScale="78" zoomScaleNormal="78" workbookViewId="0">
      <pane ySplit="1" topLeftCell="A15" activePane="bottomLeft" state="frozen"/>
      <selection pane="bottomLeft" activeCell="F3" sqref="F3:H3"/>
    </sheetView>
  </sheetViews>
  <sheetFormatPr defaultRowHeight="15"/>
  <cols>
    <col min="1" max="1" width="5.42578125" style="3" customWidth="1"/>
    <col min="2" max="2" width="28.85546875" style="5" customWidth="1"/>
    <col min="3" max="3" width="18.28515625" style="36" customWidth="1"/>
    <col min="4" max="4" width="13.28515625" style="5" customWidth="1"/>
    <col min="5" max="5" width="28.7109375" style="5" customWidth="1"/>
    <col min="6" max="6" width="23" style="36" customWidth="1"/>
    <col min="7" max="7" width="30.42578125" style="82" customWidth="1"/>
    <col min="8" max="8" width="52.5703125" style="82" customWidth="1"/>
    <col min="9" max="9" width="130.85546875" customWidth="1"/>
  </cols>
  <sheetData>
    <row r="1" spans="1:8" ht="45.75" thickBot="1">
      <c r="A1" s="16"/>
      <c r="B1" s="17" t="s">
        <v>5</v>
      </c>
      <c r="C1" s="79" t="s">
        <v>6</v>
      </c>
      <c r="D1" s="17" t="s">
        <v>7</v>
      </c>
      <c r="E1" s="123" t="s">
        <v>317</v>
      </c>
      <c r="F1" s="79" t="s">
        <v>8</v>
      </c>
      <c r="G1" s="80" t="s">
        <v>9</v>
      </c>
      <c r="H1" s="81" t="s">
        <v>10</v>
      </c>
    </row>
    <row r="2" spans="1:8" s="8" customFormat="1" ht="18.95" customHeight="1" thickBot="1">
      <c r="A2" s="144" t="s">
        <v>11</v>
      </c>
      <c r="B2" s="210" t="s">
        <v>299</v>
      </c>
      <c r="C2" s="211"/>
      <c r="D2" s="211"/>
      <c r="E2" s="211"/>
      <c r="F2" s="211"/>
      <c r="G2" s="211"/>
      <c r="H2" s="212"/>
    </row>
    <row r="3" spans="1:8" s="8" customFormat="1" ht="15.75" thickBot="1">
      <c r="A3" s="136" t="s">
        <v>232</v>
      </c>
      <c r="B3" s="137" t="s">
        <v>153</v>
      </c>
      <c r="C3" s="138" t="s">
        <v>300</v>
      </c>
      <c r="D3" s="142"/>
      <c r="E3" s="140" t="s">
        <v>289</v>
      </c>
      <c r="F3" s="169"/>
      <c r="G3" s="177"/>
      <c r="H3" s="171"/>
    </row>
    <row r="4" spans="1:8" s="102" customFormat="1" ht="15.75" thickBot="1">
      <c r="A4" s="103"/>
      <c r="C4" s="104"/>
      <c r="D4" s="117"/>
      <c r="E4" s="117"/>
    </row>
    <row r="5" spans="1:8" s="8" customFormat="1" ht="18.95" customHeight="1">
      <c r="A5" s="158" t="s">
        <v>15</v>
      </c>
      <c r="B5" s="205" t="s">
        <v>19</v>
      </c>
      <c r="C5" s="205"/>
      <c r="D5" s="205"/>
      <c r="E5" s="205"/>
      <c r="F5" s="205"/>
      <c r="G5" s="205"/>
      <c r="H5" s="206"/>
    </row>
    <row r="6" spans="1:8" s="8" customFormat="1">
      <c r="A6" s="163" t="s">
        <v>17</v>
      </c>
      <c r="B6" s="122" t="s">
        <v>234</v>
      </c>
      <c r="C6" s="85" t="s">
        <v>274</v>
      </c>
      <c r="D6" s="139" t="s">
        <v>277</v>
      </c>
      <c r="E6" s="140" t="s">
        <v>289</v>
      </c>
      <c r="F6" s="166"/>
      <c r="G6" s="175"/>
      <c r="H6" s="168"/>
    </row>
    <row r="7" spans="1:8" s="8" customFormat="1">
      <c r="A7" s="163" t="s">
        <v>291</v>
      </c>
      <c r="B7" s="162" t="s">
        <v>278</v>
      </c>
      <c r="C7" s="85" t="s">
        <v>290</v>
      </c>
      <c r="D7" s="139" t="s">
        <v>277</v>
      </c>
      <c r="E7" s="140" t="s">
        <v>289</v>
      </c>
      <c r="F7" s="166"/>
      <c r="G7" s="175"/>
      <c r="H7" s="168"/>
    </row>
    <row r="8" spans="1:8" s="8" customFormat="1">
      <c r="A8" s="163" t="s">
        <v>286</v>
      </c>
      <c r="B8" s="122" t="s">
        <v>21</v>
      </c>
      <c r="C8" s="85" t="s">
        <v>274</v>
      </c>
      <c r="D8" s="139" t="s">
        <v>277</v>
      </c>
      <c r="E8" s="140" t="s">
        <v>289</v>
      </c>
      <c r="F8" s="166"/>
      <c r="G8" s="175"/>
      <c r="H8" s="168"/>
    </row>
    <row r="9" spans="1:8" s="8" customFormat="1" ht="15.75" thickBot="1">
      <c r="A9" s="124" t="s">
        <v>298</v>
      </c>
      <c r="B9" s="125" t="s">
        <v>279</v>
      </c>
      <c r="C9" s="105" t="s">
        <v>274</v>
      </c>
      <c r="D9" s="142" t="s">
        <v>277</v>
      </c>
      <c r="E9" s="141" t="s">
        <v>289</v>
      </c>
      <c r="F9" s="176"/>
      <c r="G9" s="177"/>
      <c r="H9" s="171"/>
    </row>
    <row r="10" spans="1:8" s="102" customFormat="1" ht="15.75" thickBot="1">
      <c r="A10" s="103"/>
      <c r="C10" s="104"/>
      <c r="D10" s="117"/>
      <c r="E10" s="117"/>
    </row>
    <row r="11" spans="1:8" ht="42.75" customHeight="1">
      <c r="A11" s="145" t="s">
        <v>301</v>
      </c>
      <c r="B11" s="207" t="s">
        <v>311</v>
      </c>
      <c r="C11" s="208"/>
      <c r="D11" s="208"/>
      <c r="E11" s="208"/>
      <c r="F11" s="208"/>
      <c r="G11" s="208"/>
      <c r="H11" s="209"/>
    </row>
    <row r="12" spans="1:8" ht="66.95" customHeight="1">
      <c r="A12" s="135" t="s">
        <v>18</v>
      </c>
      <c r="B12" s="91" t="s">
        <v>23</v>
      </c>
      <c r="C12" s="126" t="s">
        <v>31</v>
      </c>
      <c r="D12" s="139" t="s">
        <v>277</v>
      </c>
      <c r="E12" s="140" t="s">
        <v>289</v>
      </c>
      <c r="F12" s="166"/>
      <c r="G12" s="167"/>
      <c r="H12" s="168"/>
    </row>
    <row r="13" spans="1:8" ht="66.95" customHeight="1">
      <c r="A13" s="135" t="s">
        <v>284</v>
      </c>
      <c r="B13" s="91" t="s">
        <v>297</v>
      </c>
      <c r="C13" s="126" t="s">
        <v>31</v>
      </c>
      <c r="D13" s="139" t="s">
        <v>277</v>
      </c>
      <c r="E13" s="140" t="s">
        <v>289</v>
      </c>
      <c r="F13" s="166"/>
      <c r="G13" s="167"/>
      <c r="H13" s="168"/>
    </row>
    <row r="14" spans="1:8" ht="66.95" customHeight="1">
      <c r="A14" s="135" t="s">
        <v>285</v>
      </c>
      <c r="B14" s="91" t="s">
        <v>296</v>
      </c>
      <c r="C14" s="126" t="s">
        <v>31</v>
      </c>
      <c r="D14" s="139" t="s">
        <v>277</v>
      </c>
      <c r="E14" s="140" t="s">
        <v>289</v>
      </c>
      <c r="F14" s="166"/>
      <c r="G14" s="167"/>
      <c r="H14" s="168"/>
    </row>
    <row r="15" spans="1:8" ht="66.95" customHeight="1" thickBot="1">
      <c r="A15" s="130" t="s">
        <v>288</v>
      </c>
      <c r="B15" s="131" t="s">
        <v>292</v>
      </c>
      <c r="C15" s="116" t="s">
        <v>31</v>
      </c>
      <c r="D15" s="142" t="s">
        <v>277</v>
      </c>
      <c r="E15" s="141" t="s">
        <v>289</v>
      </c>
      <c r="F15" s="169"/>
      <c r="G15" s="170"/>
      <c r="H15" s="171"/>
    </row>
    <row r="16" spans="1:8" ht="15.75" thickBot="1">
      <c r="A16" s="106"/>
      <c r="B16" s="107"/>
      <c r="C16" s="108"/>
      <c r="D16" s="109"/>
      <c r="E16" s="110"/>
      <c r="F16" s="110"/>
      <c r="G16" s="98"/>
      <c r="H16" s="111"/>
    </row>
    <row r="17" spans="1:8">
      <c r="A17" s="158" t="s">
        <v>302</v>
      </c>
      <c r="B17" s="205" t="s">
        <v>25</v>
      </c>
      <c r="C17" s="205"/>
      <c r="D17" s="205"/>
      <c r="E17" s="205"/>
      <c r="F17" s="205"/>
      <c r="G17" s="205"/>
      <c r="H17" s="206"/>
    </row>
    <row r="18" spans="1:8">
      <c r="A18" s="156" t="s">
        <v>303</v>
      </c>
      <c r="B18" s="157" t="s">
        <v>26</v>
      </c>
      <c r="C18" s="140" t="s">
        <v>27</v>
      </c>
      <c r="D18" s="26" t="s">
        <v>277</v>
      </c>
      <c r="E18" s="140" t="s">
        <v>289</v>
      </c>
      <c r="F18" s="166"/>
      <c r="G18" s="167"/>
      <c r="H18" s="172"/>
    </row>
    <row r="19" spans="1:8">
      <c r="A19" s="156" t="s">
        <v>304</v>
      </c>
      <c r="B19" s="157" t="s">
        <v>28</v>
      </c>
      <c r="C19" s="140" t="s">
        <v>275</v>
      </c>
      <c r="D19" s="26" t="s">
        <v>277</v>
      </c>
      <c r="E19" s="140" t="s">
        <v>289</v>
      </c>
      <c r="F19" s="166"/>
      <c r="G19" s="166"/>
      <c r="H19" s="173"/>
    </row>
    <row r="20" spans="1:8">
      <c r="A20" s="156" t="s">
        <v>305</v>
      </c>
      <c r="B20" s="157" t="s">
        <v>29</v>
      </c>
      <c r="C20" s="140" t="s">
        <v>13</v>
      </c>
      <c r="D20" s="26" t="s">
        <v>277</v>
      </c>
      <c r="E20" s="140" t="s">
        <v>289</v>
      </c>
      <c r="F20" s="166"/>
      <c r="G20" s="166"/>
      <c r="H20" s="173"/>
    </row>
    <row r="21" spans="1:8">
      <c r="A21" s="156" t="s">
        <v>306</v>
      </c>
      <c r="B21" s="120" t="s">
        <v>33</v>
      </c>
      <c r="C21" s="140" t="s">
        <v>315</v>
      </c>
      <c r="D21" s="26" t="s">
        <v>277</v>
      </c>
      <c r="E21" s="140" t="s">
        <v>289</v>
      </c>
      <c r="F21" s="166"/>
      <c r="G21" s="166"/>
      <c r="H21" s="173"/>
    </row>
    <row r="22" spans="1:8">
      <c r="A22" s="156" t="s">
        <v>309</v>
      </c>
      <c r="B22" s="120" t="s">
        <v>34</v>
      </c>
      <c r="C22" s="140" t="s">
        <v>316</v>
      </c>
      <c r="D22" s="26" t="s">
        <v>277</v>
      </c>
      <c r="E22" s="140" t="s">
        <v>289</v>
      </c>
      <c r="F22" s="166"/>
      <c r="G22" s="166"/>
      <c r="H22" s="173"/>
    </row>
    <row r="23" spans="1:8" ht="15.75" thickBot="1">
      <c r="A23" s="159" t="s">
        <v>310</v>
      </c>
      <c r="B23" s="160" t="s">
        <v>35</v>
      </c>
      <c r="C23" s="141" t="s">
        <v>31</v>
      </c>
      <c r="D23" s="161" t="s">
        <v>277</v>
      </c>
      <c r="E23" s="141" t="s">
        <v>289</v>
      </c>
      <c r="F23" s="169"/>
      <c r="G23" s="170"/>
      <c r="H23" s="174"/>
    </row>
    <row r="24" spans="1:8">
      <c r="D24" s="143"/>
      <c r="E24" s="143"/>
    </row>
  </sheetData>
  <autoFilter ref="B1:H1"/>
  <mergeCells count="4">
    <mergeCell ref="B17:H17"/>
    <mergeCell ref="B11:H11"/>
    <mergeCell ref="B5:H5"/>
    <mergeCell ref="B2:H2"/>
  </mergeCells>
  <phoneticPr fontId="17" type="noConversion"/>
  <pageMargins left="0.7" right="0.7" top="0.75" bottom="0.75" header="0.3" footer="0.3"/>
  <pageSetup paperSize="17"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87"/>
  <sheetViews>
    <sheetView topLeftCell="A77" zoomScale="76" zoomScaleNormal="100" workbookViewId="0">
      <selection activeCell="C99" sqref="C99"/>
    </sheetView>
  </sheetViews>
  <sheetFormatPr defaultRowHeight="15"/>
  <cols>
    <col min="1" max="1" width="45.5703125" style="30" customWidth="1"/>
    <col min="2" max="2" width="17.5703125" style="36" customWidth="1"/>
    <col min="3" max="3" width="41.28515625" style="3" customWidth="1"/>
    <col min="4" max="4" width="56.42578125" customWidth="1"/>
    <col min="5" max="5" width="57.5703125" customWidth="1"/>
    <col min="6" max="6" width="33.85546875" customWidth="1"/>
    <col min="8" max="8" width="12" customWidth="1"/>
  </cols>
  <sheetData>
    <row r="1" spans="1:6">
      <c r="A1" s="29" t="s">
        <v>36</v>
      </c>
      <c r="B1" s="35" t="s">
        <v>37</v>
      </c>
      <c r="C1" s="34" t="s">
        <v>38</v>
      </c>
      <c r="D1" s="31" t="s">
        <v>39</v>
      </c>
      <c r="E1" s="31" t="s">
        <v>40</v>
      </c>
      <c r="F1" s="31" t="s">
        <v>41</v>
      </c>
    </row>
    <row r="2" spans="1:6">
      <c r="A2" s="32" t="s">
        <v>42</v>
      </c>
      <c r="B2" s="35"/>
      <c r="C2" s="34"/>
      <c r="D2" s="31"/>
      <c r="E2" s="31"/>
      <c r="F2" s="31"/>
    </row>
    <row r="3" spans="1:6">
      <c r="A3" s="32" t="s">
        <v>43</v>
      </c>
      <c r="B3" s="35"/>
      <c r="C3" s="34"/>
      <c r="D3" s="31"/>
      <c r="E3" s="31"/>
      <c r="F3" s="31"/>
    </row>
    <row r="4" spans="1:6">
      <c r="A4" s="32" t="s">
        <v>44</v>
      </c>
      <c r="B4" s="35"/>
      <c r="C4" s="34"/>
      <c r="D4" s="31">
        <f>(E60*E41*E37)+(E61*E68)+E63+E64</f>
        <v>0</v>
      </c>
      <c r="E4" s="31"/>
      <c r="F4" s="31"/>
    </row>
    <row r="5" spans="1:6">
      <c r="A5" s="32"/>
      <c r="B5" s="35"/>
      <c r="C5" s="34"/>
      <c r="D5" s="31"/>
      <c r="E5" s="31"/>
      <c r="F5" s="31"/>
    </row>
    <row r="6" spans="1:6">
      <c r="A6" s="32" t="s">
        <v>45</v>
      </c>
      <c r="B6" s="35"/>
      <c r="C6" s="34"/>
      <c r="D6" s="31"/>
      <c r="E6" s="31"/>
      <c r="F6" s="31"/>
    </row>
    <row r="7" spans="1:6">
      <c r="A7" s="39" t="s">
        <v>46</v>
      </c>
      <c r="B7" s="40">
        <v>2717</v>
      </c>
      <c r="C7" s="34" t="s">
        <v>47</v>
      </c>
      <c r="D7" s="31"/>
      <c r="E7" s="31"/>
      <c r="F7" s="31"/>
    </row>
    <row r="8" spans="1:6">
      <c r="A8" s="39" t="s">
        <v>48</v>
      </c>
      <c r="B8" s="40">
        <v>945</v>
      </c>
      <c r="C8" s="34" t="s">
        <v>49</v>
      </c>
      <c r="D8" s="31"/>
      <c r="E8" s="31"/>
      <c r="F8" s="31"/>
    </row>
    <row r="9" spans="1:6">
      <c r="A9" s="39" t="s">
        <v>50</v>
      </c>
      <c r="B9" s="40">
        <v>55</v>
      </c>
      <c r="C9" s="34" t="s">
        <v>49</v>
      </c>
      <c r="D9" s="31"/>
      <c r="E9" s="31"/>
      <c r="F9" s="31"/>
    </row>
    <row r="10" spans="1:6">
      <c r="A10" s="39" t="s">
        <v>51</v>
      </c>
      <c r="B10" s="40">
        <f>B8-B9</f>
        <v>890</v>
      </c>
      <c r="C10" s="34" t="s">
        <v>49</v>
      </c>
      <c r="D10" s="31"/>
      <c r="E10" s="31"/>
      <c r="F10" s="31"/>
    </row>
    <row r="11" spans="1:6">
      <c r="A11" s="39" t="s">
        <v>52</v>
      </c>
      <c r="B11" s="41">
        <f>(B8-B9)/B7</f>
        <v>0.32756716967243282</v>
      </c>
      <c r="C11" s="34" t="s">
        <v>53</v>
      </c>
      <c r="D11" s="31"/>
      <c r="E11" s="31"/>
      <c r="F11" s="31"/>
    </row>
    <row r="12" spans="1:6">
      <c r="A12" s="39" t="s">
        <v>54</v>
      </c>
      <c r="B12" s="42">
        <v>0.93</v>
      </c>
      <c r="C12" s="34" t="s">
        <v>55</v>
      </c>
      <c r="D12" s="31"/>
      <c r="E12" s="31"/>
      <c r="F12" s="31"/>
    </row>
    <row r="13" spans="1:6">
      <c r="A13" s="43" t="s">
        <v>56</v>
      </c>
      <c r="B13" s="44">
        <f>B12*B7</f>
        <v>2526.81</v>
      </c>
      <c r="C13" s="34" t="s">
        <v>47</v>
      </c>
      <c r="D13" s="31"/>
      <c r="E13" s="31"/>
      <c r="F13" s="31"/>
    </row>
    <row r="14" spans="1:6">
      <c r="A14" s="43" t="s">
        <v>12</v>
      </c>
      <c r="B14" s="44">
        <f>B8*B12</f>
        <v>878.85</v>
      </c>
      <c r="C14" s="34" t="s">
        <v>49</v>
      </c>
      <c r="D14" s="31"/>
      <c r="E14" s="31"/>
      <c r="F14" s="31"/>
    </row>
    <row r="15" spans="1:6">
      <c r="A15" s="43" t="s">
        <v>14</v>
      </c>
      <c r="B15" s="44">
        <f>B14-B9</f>
        <v>823.85</v>
      </c>
      <c r="C15" s="34" t="s">
        <v>57</v>
      </c>
      <c r="D15" s="31"/>
      <c r="E15" s="31"/>
      <c r="F15" s="31"/>
    </row>
    <row r="16" spans="1:6">
      <c r="A16" s="39" t="s">
        <v>58</v>
      </c>
      <c r="B16" s="42">
        <v>0.9</v>
      </c>
      <c r="C16" s="34" t="s">
        <v>59</v>
      </c>
      <c r="D16" s="31"/>
      <c r="E16" s="31"/>
      <c r="F16" s="31"/>
    </row>
    <row r="17" spans="1:7">
      <c r="A17" s="45" t="s">
        <v>60</v>
      </c>
      <c r="B17" s="46">
        <f>B15*365*24*B16/1000</f>
        <v>6495.2334000000001</v>
      </c>
      <c r="C17" s="3" t="s">
        <v>61</v>
      </c>
      <c r="D17" s="31"/>
      <c r="E17" s="31"/>
      <c r="F17" s="31"/>
    </row>
    <row r="18" spans="1:7">
      <c r="A18" s="45"/>
      <c r="B18" s="59"/>
      <c r="D18" s="31"/>
      <c r="E18" s="31"/>
      <c r="F18" s="31"/>
    </row>
    <row r="19" spans="1:7">
      <c r="A19" s="33" t="s">
        <v>62</v>
      </c>
      <c r="B19" s="46">
        <v>65</v>
      </c>
      <c r="C19" s="3" t="s">
        <v>63</v>
      </c>
      <c r="D19" s="31"/>
      <c r="E19" s="31"/>
      <c r="F19" s="31"/>
    </row>
    <row r="20" spans="1:7">
      <c r="A20" s="45"/>
      <c r="B20" s="46"/>
      <c r="D20" s="31"/>
      <c r="E20" s="31"/>
      <c r="F20" s="31"/>
    </row>
    <row r="21" spans="1:7">
      <c r="A21" s="45"/>
      <c r="B21" s="46"/>
      <c r="D21" s="31"/>
      <c r="E21" s="31"/>
      <c r="F21" s="31"/>
    </row>
    <row r="22" spans="1:7">
      <c r="A22" s="33" t="s">
        <v>64</v>
      </c>
      <c r="B22" s="46" t="s">
        <v>47</v>
      </c>
      <c r="C22" s="3" t="s">
        <v>57</v>
      </c>
      <c r="D22" s="31"/>
      <c r="E22" s="31"/>
      <c r="F22" s="31"/>
    </row>
    <row r="23" spans="1:7">
      <c r="A23" s="50">
        <v>1</v>
      </c>
      <c r="B23" s="46">
        <v>2717</v>
      </c>
      <c r="C23" s="3">
        <v>945</v>
      </c>
      <c r="D23" s="31"/>
      <c r="E23" s="31"/>
      <c r="F23" s="31"/>
    </row>
    <row r="24" spans="1:7">
      <c r="A24" s="50">
        <v>0.9</v>
      </c>
      <c r="B24" s="46">
        <v>2445.3000000000002</v>
      </c>
      <c r="C24" s="3">
        <v>851</v>
      </c>
      <c r="D24" s="31"/>
      <c r="E24" s="31"/>
      <c r="F24" s="31"/>
    </row>
    <row r="25" spans="1:7">
      <c r="A25" s="50">
        <v>0.75</v>
      </c>
      <c r="B25" s="46">
        <v>2037.7</v>
      </c>
      <c r="C25" s="3">
        <v>709</v>
      </c>
      <c r="D25" s="31"/>
      <c r="E25" s="31"/>
      <c r="F25" s="31"/>
    </row>
    <row r="26" spans="1:7">
      <c r="A26" s="50">
        <v>0.5</v>
      </c>
      <c r="B26" s="46">
        <v>1358</v>
      </c>
      <c r="C26" s="3">
        <v>453</v>
      </c>
      <c r="D26" s="31"/>
      <c r="E26" s="31"/>
      <c r="F26" s="31"/>
    </row>
    <row r="27" spans="1:7">
      <c r="A27" s="50">
        <v>0.25</v>
      </c>
      <c r="B27" s="46">
        <v>679</v>
      </c>
      <c r="C27" s="3">
        <v>194</v>
      </c>
      <c r="D27" s="31"/>
      <c r="E27" s="31"/>
      <c r="F27" s="31"/>
    </row>
    <row r="28" spans="1:7">
      <c r="A28" s="45"/>
      <c r="B28" s="46"/>
      <c r="D28" s="31"/>
      <c r="E28" s="31"/>
      <c r="F28" s="31"/>
    </row>
    <row r="29" spans="1:7">
      <c r="A29" s="33" t="s">
        <v>65</v>
      </c>
      <c r="B29" s="40"/>
      <c r="D29" s="31"/>
      <c r="E29" s="31"/>
      <c r="F29" s="31"/>
    </row>
    <row r="30" spans="1:7">
      <c r="A30" s="52" t="s">
        <v>66</v>
      </c>
      <c r="B30" s="40"/>
      <c r="E30" s="31" t="s">
        <v>67</v>
      </c>
      <c r="G30" s="31" t="s">
        <v>68</v>
      </c>
    </row>
    <row r="31" spans="1:7">
      <c r="A31" s="48" t="s">
        <v>69</v>
      </c>
      <c r="B31" s="41">
        <v>0.05</v>
      </c>
      <c r="C31" s="3" t="s">
        <v>55</v>
      </c>
      <c r="E31" s="31">
        <f>B31*$B$7</f>
        <v>135.85</v>
      </c>
      <c r="F31" s="31">
        <v>50</v>
      </c>
      <c r="G31" s="31" t="s">
        <v>49</v>
      </c>
    </row>
    <row r="32" spans="1:7">
      <c r="A32" s="43" t="s">
        <v>70</v>
      </c>
      <c r="B32" s="40">
        <v>36</v>
      </c>
      <c r="C32" s="3" t="s">
        <v>32</v>
      </c>
      <c r="E32" s="31">
        <f>E31*B32</f>
        <v>4890.5999999999995</v>
      </c>
      <c r="F32" s="31">
        <f>F31*B32</f>
        <v>1800</v>
      </c>
      <c r="G32" s="31" t="s">
        <v>71</v>
      </c>
    </row>
    <row r="33" spans="1:8">
      <c r="A33" s="39" t="s">
        <v>72</v>
      </c>
      <c r="B33" s="41">
        <v>0.3</v>
      </c>
      <c r="C33" s="3" t="s">
        <v>55</v>
      </c>
      <c r="E33" s="31">
        <f>B33*$B$7</f>
        <v>815.1</v>
      </c>
      <c r="F33" s="31">
        <v>50</v>
      </c>
      <c r="G33" s="31" t="s">
        <v>49</v>
      </c>
    </row>
    <row r="34" spans="1:8">
      <c r="A34" s="43" t="s">
        <v>73</v>
      </c>
      <c r="B34" s="40">
        <v>36</v>
      </c>
      <c r="C34" s="3" t="s">
        <v>32</v>
      </c>
      <c r="E34" s="31">
        <f>E33*B34</f>
        <v>29343.600000000002</v>
      </c>
      <c r="F34" s="31">
        <f>F33*B34</f>
        <v>1800</v>
      </c>
      <c r="G34" s="31" t="s">
        <v>71</v>
      </c>
    </row>
    <row r="35" spans="1:8">
      <c r="A35" s="48" t="s">
        <v>74</v>
      </c>
      <c r="B35" s="41">
        <v>0.3</v>
      </c>
      <c r="C35" s="3" t="s">
        <v>55</v>
      </c>
      <c r="E35" s="31"/>
      <c r="F35" s="31">
        <v>50</v>
      </c>
      <c r="G35" s="31" t="s">
        <v>49</v>
      </c>
    </row>
    <row r="36" spans="1:8">
      <c r="A36" s="49" t="s">
        <v>75</v>
      </c>
      <c r="B36" s="40">
        <f>0.5*B34</f>
        <v>18</v>
      </c>
      <c r="C36" s="3" t="s">
        <v>32</v>
      </c>
      <c r="E36" s="31"/>
      <c r="F36" s="31">
        <f>B36*F35</f>
        <v>900</v>
      </c>
      <c r="G36" s="31">
        <f>F36+F34+F32</f>
        <v>4500</v>
      </c>
      <c r="H36" t="s">
        <v>71</v>
      </c>
    </row>
    <row r="37" spans="1:8">
      <c r="A37" s="39" t="s">
        <v>76</v>
      </c>
      <c r="B37" s="41">
        <v>0.7</v>
      </c>
      <c r="C37" s="3" t="s">
        <v>55</v>
      </c>
      <c r="E37" s="31">
        <f>B37*$B$7</f>
        <v>1901.8999999999999</v>
      </c>
      <c r="F37" s="31"/>
      <c r="G37" s="53">
        <f>B19</f>
        <v>65</v>
      </c>
      <c r="H37" t="s">
        <v>77</v>
      </c>
    </row>
    <row r="38" spans="1:8">
      <c r="A38" s="43" t="s">
        <v>73</v>
      </c>
      <c r="B38" s="40">
        <v>36</v>
      </c>
      <c r="C38" s="3" t="s">
        <v>32</v>
      </c>
      <c r="E38" s="31">
        <f>E37*B38</f>
        <v>68468.399999999994</v>
      </c>
      <c r="F38" s="31"/>
      <c r="G38" s="84">
        <f>G36*G37</f>
        <v>292500</v>
      </c>
      <c r="H38" t="s">
        <v>78</v>
      </c>
    </row>
    <row r="39" spans="1:8">
      <c r="A39" s="39" t="s">
        <v>79</v>
      </c>
      <c r="B39" s="41">
        <v>0.85</v>
      </c>
      <c r="C39" s="3" t="s">
        <v>55</v>
      </c>
      <c r="E39" s="31">
        <f>B39*$B$7</f>
        <v>2309.4499999999998</v>
      </c>
      <c r="F39" s="31"/>
      <c r="G39" s="31"/>
    </row>
    <row r="40" spans="1:8">
      <c r="A40" s="43" t="s">
        <v>73</v>
      </c>
      <c r="B40" s="40">
        <v>36</v>
      </c>
      <c r="C40" s="3" t="s">
        <v>32</v>
      </c>
      <c r="E40" s="31">
        <f>E39*B40</f>
        <v>83140.2</v>
      </c>
      <c r="F40" s="31"/>
      <c r="G40" s="31"/>
    </row>
    <row r="41" spans="1:8">
      <c r="A41" s="39" t="s">
        <v>80</v>
      </c>
      <c r="B41" s="41">
        <v>0.88</v>
      </c>
      <c r="C41" s="3" t="s">
        <v>55</v>
      </c>
      <c r="E41" s="31">
        <f>B41*$B$7</f>
        <v>2390.96</v>
      </c>
      <c r="F41" s="31"/>
      <c r="G41" s="31"/>
    </row>
    <row r="42" spans="1:8">
      <c r="A42" s="43" t="s">
        <v>73</v>
      </c>
      <c r="B42" s="40">
        <v>36</v>
      </c>
      <c r="C42" s="3" t="s">
        <v>32</v>
      </c>
      <c r="E42" s="31">
        <f>E41*B42</f>
        <v>86074.559999999998</v>
      </c>
      <c r="F42" s="31"/>
      <c r="G42" s="31"/>
    </row>
    <row r="43" spans="1:8">
      <c r="A43" s="39" t="s">
        <v>81</v>
      </c>
      <c r="B43" s="41">
        <v>0.89</v>
      </c>
      <c r="C43" s="3" t="s">
        <v>55</v>
      </c>
      <c r="E43" s="31">
        <f>B43*$B$7</f>
        <v>2418.13</v>
      </c>
      <c r="F43" s="31"/>
      <c r="G43" s="31"/>
    </row>
    <row r="44" spans="1:8">
      <c r="A44" s="43" t="s">
        <v>73</v>
      </c>
      <c r="B44" s="40">
        <v>36</v>
      </c>
      <c r="C44" s="3" t="s">
        <v>32</v>
      </c>
      <c r="E44" s="31">
        <f>E43*B44</f>
        <v>87052.680000000008</v>
      </c>
      <c r="F44" s="31"/>
      <c r="G44" s="31"/>
    </row>
    <row r="45" spans="1:8">
      <c r="A45" s="39" t="s">
        <v>82</v>
      </c>
      <c r="B45" s="41">
        <v>0.9</v>
      </c>
      <c r="C45" s="3" t="s">
        <v>83</v>
      </c>
      <c r="E45" s="31">
        <f>B45*$B$7</f>
        <v>2445.3000000000002</v>
      </c>
      <c r="F45" s="31"/>
      <c r="G45" s="31"/>
    </row>
    <row r="46" spans="1:8">
      <c r="A46" s="43" t="s">
        <v>73</v>
      </c>
      <c r="B46" s="40">
        <v>36</v>
      </c>
      <c r="C46" s="3" t="s">
        <v>32</v>
      </c>
      <c r="E46" s="31">
        <f>E45*B46</f>
        <v>88030.8</v>
      </c>
      <c r="F46" s="31"/>
      <c r="G46" s="31"/>
    </row>
    <row r="47" spans="1:8">
      <c r="A47" s="56" t="s">
        <v>84</v>
      </c>
      <c r="B47" s="40">
        <f>B46+B44+B42+B40+B38+B34+B32</f>
        <v>252</v>
      </c>
      <c r="C47" s="3" t="s">
        <v>32</v>
      </c>
      <c r="E47" s="31"/>
      <c r="F47" s="31"/>
      <c r="G47" s="31"/>
    </row>
    <row r="48" spans="1:8">
      <c r="B48" s="40"/>
      <c r="E48" s="51">
        <f>E32+E34+E38+E40+E42+E44+E46</f>
        <v>447000.83999999997</v>
      </c>
      <c r="F48" s="31" t="s">
        <v>85</v>
      </c>
      <c r="G48" s="31"/>
    </row>
    <row r="49" spans="1:7">
      <c r="A49" s="33" t="s">
        <v>86</v>
      </c>
      <c r="B49" s="40">
        <v>1</v>
      </c>
      <c r="C49" s="3" t="s">
        <v>87</v>
      </c>
      <c r="E49" s="51">
        <f>E48/B68</f>
        <v>2377.6640425531914</v>
      </c>
      <c r="F49" s="31" t="s">
        <v>88</v>
      </c>
      <c r="G49" s="31"/>
    </row>
    <row r="50" spans="1:7">
      <c r="A50" s="39" t="s">
        <v>89</v>
      </c>
      <c r="B50" s="41">
        <v>0.6</v>
      </c>
      <c r="C50" s="3" t="s">
        <v>55</v>
      </c>
      <c r="E50" s="83">
        <f>E49/B65</f>
        <v>124.48502840592624</v>
      </c>
      <c r="F50" s="31" t="s">
        <v>90</v>
      </c>
      <c r="G50" s="31"/>
    </row>
    <row r="51" spans="1:7">
      <c r="A51" s="39" t="s">
        <v>73</v>
      </c>
      <c r="B51" s="40">
        <v>48</v>
      </c>
      <c r="C51" s="3" t="s">
        <v>32</v>
      </c>
      <c r="D51" s="31"/>
      <c r="E51" s="31">
        <f>E33/B68</f>
        <v>4.3356382978723405</v>
      </c>
      <c r="F51" s="31" t="s">
        <v>91</v>
      </c>
    </row>
    <row r="52" spans="1:7">
      <c r="A52" s="39" t="s">
        <v>92</v>
      </c>
      <c r="B52" s="40">
        <f>B50*B7</f>
        <v>1630.2</v>
      </c>
      <c r="C52" s="3" t="s">
        <v>47</v>
      </c>
      <c r="D52" s="31"/>
      <c r="E52" s="31"/>
      <c r="F52" s="31"/>
    </row>
    <row r="53" spans="1:7">
      <c r="A53" s="39" t="s">
        <v>93</v>
      </c>
      <c r="B53" s="40">
        <f>B52*B11</f>
        <v>534</v>
      </c>
      <c r="C53" s="3" t="s">
        <v>57</v>
      </c>
      <c r="D53" s="31"/>
      <c r="E53" s="31"/>
      <c r="F53" s="31"/>
    </row>
    <row r="54" spans="1:7">
      <c r="A54" s="45"/>
      <c r="B54" s="40"/>
      <c r="D54" s="31"/>
      <c r="E54" s="31"/>
      <c r="F54" s="31"/>
    </row>
    <row r="55" spans="1:7">
      <c r="A55" s="33" t="s">
        <v>94</v>
      </c>
      <c r="B55" s="40"/>
      <c r="C55" s="3" t="s">
        <v>87</v>
      </c>
      <c r="D55" s="31"/>
      <c r="E55" s="31"/>
      <c r="F55" s="31"/>
    </row>
    <row r="56" spans="1:7">
      <c r="A56" s="39" t="s">
        <v>95</v>
      </c>
      <c r="B56" s="41">
        <v>0.93</v>
      </c>
      <c r="C56" s="3" t="s">
        <v>55</v>
      </c>
      <c r="D56" s="31"/>
      <c r="E56" s="31"/>
      <c r="F56" s="31"/>
    </row>
    <row r="57" spans="1:7">
      <c r="A57" s="39" t="s">
        <v>73</v>
      </c>
      <c r="B57" s="40">
        <v>48</v>
      </c>
      <c r="C57" s="3" t="s">
        <v>96</v>
      </c>
      <c r="D57" s="31"/>
      <c r="E57" s="31"/>
      <c r="F57" s="31"/>
    </row>
    <row r="58" spans="1:7">
      <c r="A58" s="39" t="s">
        <v>92</v>
      </c>
      <c r="B58" s="44">
        <f>B13</f>
        <v>2526.81</v>
      </c>
      <c r="C58" s="3" t="s">
        <v>47</v>
      </c>
      <c r="D58" s="31"/>
      <c r="E58" s="31"/>
      <c r="F58" s="31"/>
    </row>
    <row r="59" spans="1:7">
      <c r="A59" s="39" t="s">
        <v>93</v>
      </c>
      <c r="B59" s="40">
        <v>400</v>
      </c>
      <c r="C59" s="3" t="s">
        <v>57</v>
      </c>
      <c r="D59" s="31"/>
      <c r="E59" s="31"/>
      <c r="F59" s="31"/>
    </row>
    <row r="60" spans="1:7">
      <c r="A60" s="45"/>
      <c r="B60" s="40"/>
      <c r="D60" s="31"/>
      <c r="E60" s="31"/>
      <c r="F60" s="31"/>
    </row>
    <row r="61" spans="1:7">
      <c r="A61" s="33" t="s">
        <v>97</v>
      </c>
      <c r="B61" s="40"/>
      <c r="D61" s="31"/>
      <c r="E61" s="31"/>
      <c r="F61" s="31"/>
    </row>
    <row r="62" spans="1:7">
      <c r="A62" s="39" t="s">
        <v>98</v>
      </c>
      <c r="B62" s="40">
        <v>480</v>
      </c>
      <c r="C62" s="34"/>
      <c r="D62" s="31"/>
      <c r="E62" s="31"/>
      <c r="F62" s="31"/>
    </row>
    <row r="63" spans="1:7">
      <c r="A63" s="39" t="s">
        <v>99</v>
      </c>
      <c r="B63" s="40">
        <v>12</v>
      </c>
      <c r="C63" s="34"/>
      <c r="D63" s="31"/>
      <c r="E63" s="31"/>
      <c r="F63" s="31"/>
    </row>
    <row r="64" spans="1:7">
      <c r="A64" s="39" t="s">
        <v>100</v>
      </c>
      <c r="B64" s="44">
        <f>B7/(B62*B63)*1000</f>
        <v>471.70138888888891</v>
      </c>
      <c r="C64" s="34" t="s">
        <v>101</v>
      </c>
      <c r="D64" s="31"/>
      <c r="E64" s="31"/>
      <c r="F64" s="31"/>
    </row>
    <row r="65" spans="1:6">
      <c r="A65" s="39" t="s">
        <v>102</v>
      </c>
      <c r="B65" s="40">
        <v>19.100000000000001</v>
      </c>
      <c r="C65" s="34" t="s">
        <v>103</v>
      </c>
      <c r="D65" s="31"/>
      <c r="E65" s="31"/>
      <c r="F65" s="31"/>
    </row>
    <row r="66" spans="1:6">
      <c r="A66" s="39" t="s">
        <v>104</v>
      </c>
      <c r="B66" s="40">
        <v>0</v>
      </c>
      <c r="C66" s="34" t="s">
        <v>105</v>
      </c>
      <c r="D66" s="31"/>
      <c r="E66" s="31"/>
      <c r="F66" s="31"/>
    </row>
    <row r="67" spans="1:6">
      <c r="A67" s="48" t="s">
        <v>106</v>
      </c>
      <c r="B67" s="46">
        <f>B66/24</f>
        <v>0</v>
      </c>
      <c r="C67" s="34" t="s">
        <v>107</v>
      </c>
      <c r="D67" s="31"/>
      <c r="E67" s="31"/>
      <c r="F67" s="31"/>
    </row>
    <row r="68" spans="1:6">
      <c r="A68" s="39" t="s">
        <v>108</v>
      </c>
      <c r="B68" s="40">
        <v>188</v>
      </c>
      <c r="C68" s="34" t="s">
        <v>107</v>
      </c>
      <c r="D68" s="31"/>
      <c r="E68" s="31"/>
      <c r="F68" s="31"/>
    </row>
    <row r="69" spans="1:6">
      <c r="A69" s="39" t="s">
        <v>109</v>
      </c>
      <c r="B69" s="40">
        <f>B62*B63*B65</f>
        <v>110016.00000000001</v>
      </c>
      <c r="C69" s="34" t="s">
        <v>103</v>
      </c>
      <c r="D69" s="31"/>
      <c r="E69" s="31"/>
      <c r="F69" s="31"/>
    </row>
    <row r="70" spans="1:6">
      <c r="A70" s="39" t="s">
        <v>110</v>
      </c>
      <c r="B70" s="46">
        <f>B13*24*365*B16/B68</f>
        <v>105964.73425531917</v>
      </c>
      <c r="C70" s="34" t="s">
        <v>111</v>
      </c>
      <c r="D70" s="31"/>
      <c r="E70" s="31"/>
      <c r="F70" s="31"/>
    </row>
    <row r="71" spans="1:6">
      <c r="A71" s="47" t="s">
        <v>112</v>
      </c>
      <c r="B71" s="44">
        <f>B70/B65</f>
        <v>5547.8918458282287</v>
      </c>
      <c r="C71" s="34" t="s">
        <v>113</v>
      </c>
      <c r="D71" s="31"/>
      <c r="E71" s="31"/>
      <c r="F71" s="31"/>
    </row>
    <row r="72" spans="1:6">
      <c r="A72" s="47" t="s">
        <v>114</v>
      </c>
      <c r="B72" s="44">
        <f>B71/365</f>
        <v>15.199703687200627</v>
      </c>
      <c r="C72" s="34" t="s">
        <v>115</v>
      </c>
      <c r="D72" s="31"/>
      <c r="E72" s="31"/>
      <c r="F72" s="31"/>
    </row>
    <row r="73" spans="1:6">
      <c r="A73" s="47" t="s">
        <v>116</v>
      </c>
      <c r="B73" s="44">
        <f>B65*100</f>
        <v>1910.0000000000002</v>
      </c>
      <c r="C73" s="34" t="s">
        <v>117</v>
      </c>
      <c r="D73" s="31"/>
      <c r="E73" s="31"/>
      <c r="F73" s="31"/>
    </row>
    <row r="74" spans="1:6">
      <c r="A74" s="47"/>
      <c r="B74" s="44"/>
      <c r="C74" s="34"/>
      <c r="D74" s="31"/>
      <c r="E74" s="31"/>
      <c r="F74" s="31"/>
    </row>
    <row r="75" spans="1:6">
      <c r="A75" s="32" t="s">
        <v>118</v>
      </c>
      <c r="B75" s="44"/>
      <c r="C75" s="34"/>
      <c r="D75" s="31"/>
      <c r="E75" s="31"/>
      <c r="F75" s="31"/>
    </row>
    <row r="76" spans="1:6">
      <c r="A76" s="39" t="s">
        <v>119</v>
      </c>
      <c r="B76" s="54">
        <f>B73*(E50)</f>
        <v>237766.40425531915</v>
      </c>
      <c r="C76" s="34" t="s">
        <v>120</v>
      </c>
      <c r="D76" s="31"/>
      <c r="E76" s="31"/>
      <c r="F76" s="31"/>
    </row>
    <row r="77" spans="1:6">
      <c r="A77" s="39" t="s">
        <v>121</v>
      </c>
      <c r="B77" s="54">
        <f>G38</f>
        <v>292500</v>
      </c>
      <c r="C77" s="34" t="s">
        <v>120</v>
      </c>
      <c r="D77" s="31"/>
      <c r="E77" s="31"/>
      <c r="F77" s="31"/>
    </row>
    <row r="78" spans="1:6">
      <c r="A78" s="39" t="s">
        <v>122</v>
      </c>
      <c r="B78" s="54">
        <f>B96*B47</f>
        <v>1524302.7022627662</v>
      </c>
      <c r="C78" s="34" t="s">
        <v>120</v>
      </c>
      <c r="D78" s="31"/>
      <c r="E78" s="31"/>
      <c r="F78" s="31"/>
    </row>
    <row r="79" spans="1:6">
      <c r="A79" s="39" t="s">
        <v>123</v>
      </c>
      <c r="B79" s="54"/>
      <c r="C79" s="34"/>
      <c r="D79" s="31"/>
      <c r="E79" s="31"/>
      <c r="F79" s="31"/>
    </row>
    <row r="80" spans="1:6">
      <c r="A80" s="29" t="s">
        <v>124</v>
      </c>
      <c r="B80" s="54">
        <f>SUM(B76:B79)</f>
        <v>2054569.1065180853</v>
      </c>
      <c r="C80" s="34" t="s">
        <v>120</v>
      </c>
      <c r="D80" s="31"/>
      <c r="E80" s="31"/>
      <c r="F80" s="31"/>
    </row>
    <row r="81" spans="1:6">
      <c r="A81" s="29"/>
      <c r="B81" s="54"/>
      <c r="C81" s="34"/>
      <c r="D81" s="31"/>
      <c r="E81" s="31"/>
      <c r="F81" s="31"/>
    </row>
    <row r="82" spans="1:6">
      <c r="A82" s="29" t="s">
        <v>125</v>
      </c>
      <c r="B82" s="54">
        <f>B73*B71</f>
        <v>10596473.425531918</v>
      </c>
      <c r="C82" s="34" t="s">
        <v>126</v>
      </c>
      <c r="D82" s="31"/>
      <c r="E82" s="31"/>
      <c r="F82" s="31"/>
    </row>
    <row r="83" spans="1:6">
      <c r="A83" s="29"/>
      <c r="B83" s="54"/>
      <c r="C83" s="34"/>
      <c r="D83" s="31"/>
      <c r="E83" s="31"/>
      <c r="F83" s="31"/>
    </row>
    <row r="84" spans="1:6">
      <c r="A84" s="29"/>
      <c r="B84" s="54"/>
      <c r="C84" s="34"/>
      <c r="D84" s="31"/>
      <c r="E84" s="31"/>
      <c r="F84" s="31"/>
    </row>
    <row r="85" spans="1:6">
      <c r="A85" s="29"/>
      <c r="B85" s="54"/>
      <c r="C85" s="34"/>
      <c r="D85" s="31"/>
      <c r="E85" s="31"/>
      <c r="F85" s="31"/>
    </row>
    <row r="86" spans="1:6">
      <c r="A86" s="32" t="s">
        <v>127</v>
      </c>
      <c r="B86" s="35"/>
      <c r="C86" s="34" t="s">
        <v>128</v>
      </c>
      <c r="D86" s="31"/>
      <c r="E86" s="31"/>
      <c r="F86" s="31"/>
    </row>
    <row r="87" spans="1:6">
      <c r="A87" s="39" t="s">
        <v>129</v>
      </c>
      <c r="B87" s="40">
        <f>D87*0.2585</f>
        <v>13695941.902500004</v>
      </c>
      <c r="C87" s="34" t="s">
        <v>126</v>
      </c>
      <c r="D87" s="31">
        <f>B82/0.2</f>
        <v>52982367.127659589</v>
      </c>
      <c r="E87" s="31"/>
      <c r="F87" s="31"/>
    </row>
    <row r="88" spans="1:6">
      <c r="A88" s="39" t="s">
        <v>130</v>
      </c>
      <c r="B88" s="40">
        <f>D87*0.1537</f>
        <v>8143389.8275212795</v>
      </c>
      <c r="C88" s="34" t="s">
        <v>126</v>
      </c>
      <c r="D88" s="31"/>
      <c r="E88" s="31"/>
      <c r="F88" s="31"/>
    </row>
    <row r="89" spans="1:6">
      <c r="A89" s="39" t="s">
        <v>131</v>
      </c>
      <c r="B89" s="40">
        <f>D87*0.0244</f>
        <v>1292769.757914894</v>
      </c>
      <c r="C89" s="34" t="s">
        <v>126</v>
      </c>
      <c r="D89" s="31"/>
      <c r="E89" s="31"/>
      <c r="F89" s="31"/>
    </row>
    <row r="90" spans="1:6">
      <c r="A90" s="39" t="s">
        <v>132</v>
      </c>
      <c r="B90" s="40">
        <f>D87*0.0293</f>
        <v>1552383.3568404259</v>
      </c>
      <c r="C90" s="34" t="s">
        <v>126</v>
      </c>
      <c r="D90" s="31"/>
      <c r="E90" s="31"/>
      <c r="F90" s="31"/>
    </row>
    <row r="91" spans="1:6">
      <c r="A91" s="39" t="s">
        <v>133</v>
      </c>
      <c r="B91" s="40">
        <f>D87*0.3293</f>
        <v>17447093.495138302</v>
      </c>
      <c r="C91" s="34" t="s">
        <v>126</v>
      </c>
      <c r="D91" s="31"/>
      <c r="E91" s="31"/>
      <c r="F91" s="31"/>
    </row>
    <row r="92" spans="1:6">
      <c r="A92" s="39" t="s">
        <v>134</v>
      </c>
      <c r="B92" s="40">
        <f>D87*0.0195</f>
        <v>1033156.158989362</v>
      </c>
      <c r="C92" s="34" t="s">
        <v>126</v>
      </c>
      <c r="D92" s="31"/>
      <c r="E92" s="31"/>
      <c r="F92" s="31"/>
    </row>
    <row r="93" spans="1:6">
      <c r="A93" s="39" t="s">
        <v>135</v>
      </c>
      <c r="B93" s="40">
        <f>D87*0.1171</f>
        <v>6204235.1906489376</v>
      </c>
      <c r="C93" s="34" t="s">
        <v>126</v>
      </c>
      <c r="D93" s="31"/>
      <c r="E93" s="31"/>
      <c r="F93" s="31"/>
    </row>
    <row r="94" spans="1:6">
      <c r="A94" s="39" t="s">
        <v>136</v>
      </c>
      <c r="B94" s="40">
        <f>D87*0.0683</f>
        <v>3618695.67481915</v>
      </c>
      <c r="C94" s="34" t="s">
        <v>126</v>
      </c>
      <c r="D94" s="31"/>
      <c r="E94" s="31"/>
      <c r="F94" s="31"/>
    </row>
    <row r="95" spans="1:6">
      <c r="A95" s="56" t="s">
        <v>137</v>
      </c>
      <c r="B95" s="58">
        <f>SUM(B87:B94)</f>
        <v>52987665.36437235</v>
      </c>
      <c r="C95" s="34" t="s">
        <v>126</v>
      </c>
      <c r="D95" s="31"/>
      <c r="E95" s="31"/>
      <c r="F95" s="31"/>
    </row>
    <row r="96" spans="1:6">
      <c r="A96" s="57" t="s">
        <v>138</v>
      </c>
      <c r="B96" s="55">
        <f>B95/(24*365)</f>
        <v>6048.8202470744691</v>
      </c>
      <c r="C96" s="34" t="s">
        <v>139</v>
      </c>
      <c r="D96" s="31">
        <f>B96/160</f>
        <v>37.805126544215433</v>
      </c>
      <c r="E96" s="31"/>
      <c r="F96" s="31"/>
    </row>
    <row r="97" spans="1:6">
      <c r="A97" s="29"/>
      <c r="B97" s="35"/>
      <c r="C97" s="34"/>
      <c r="D97" s="31"/>
      <c r="E97" s="31"/>
      <c r="F97" s="31"/>
    </row>
    <row r="98" spans="1:6">
      <c r="A98" s="32" t="s">
        <v>140</v>
      </c>
      <c r="B98" s="35"/>
      <c r="C98" s="34"/>
      <c r="D98" s="31"/>
      <c r="E98" s="31"/>
      <c r="F98" s="31"/>
    </row>
    <row r="99" spans="1:6" ht="330">
      <c r="A99" s="77" t="s">
        <v>141</v>
      </c>
      <c r="B99" s="35"/>
      <c r="C99" s="34" t="s">
        <v>126</v>
      </c>
      <c r="D99" s="45" t="s">
        <v>142</v>
      </c>
      <c r="E99" s="31"/>
      <c r="F99" s="31"/>
    </row>
    <row r="100" spans="1:6">
      <c r="A100" s="77" t="s">
        <v>143</v>
      </c>
      <c r="B100" s="35"/>
      <c r="C100" s="34"/>
      <c r="D100" s="45"/>
      <c r="E100" s="31"/>
      <c r="F100" s="31"/>
    </row>
    <row r="101" spans="1:6">
      <c r="A101" s="77"/>
      <c r="B101" s="35"/>
      <c r="C101" s="34"/>
      <c r="D101" s="45"/>
      <c r="E101" s="31"/>
      <c r="F101" s="31"/>
    </row>
    <row r="102" spans="1:6">
      <c r="A102" s="77"/>
      <c r="B102" s="35"/>
      <c r="C102" s="34"/>
      <c r="D102" s="45"/>
      <c r="E102" s="31"/>
      <c r="F102" s="31"/>
    </row>
    <row r="103" spans="1:6">
      <c r="A103" s="78" t="s">
        <v>144</v>
      </c>
      <c r="B103" s="35"/>
      <c r="C103" s="72" t="s">
        <v>126</v>
      </c>
      <c r="D103" s="45"/>
      <c r="E103" s="31"/>
      <c r="F103" s="31"/>
    </row>
    <row r="104" spans="1:6">
      <c r="A104" s="77"/>
      <c r="B104" s="35"/>
      <c r="C104" s="34"/>
      <c r="D104" s="45"/>
      <c r="E104" s="31"/>
      <c r="F104" s="31"/>
    </row>
    <row r="105" spans="1:6">
      <c r="A105" s="77"/>
      <c r="B105" s="35"/>
      <c r="C105" s="34"/>
      <c r="D105" s="45"/>
      <c r="E105" s="31"/>
      <c r="F105" s="31"/>
    </row>
    <row r="106" spans="1:6">
      <c r="A106" s="29"/>
      <c r="B106" s="35"/>
      <c r="C106" s="34"/>
      <c r="D106" s="31"/>
      <c r="E106" s="31"/>
      <c r="F106" s="31"/>
    </row>
    <row r="107" spans="1:6">
      <c r="A107" s="32" t="s">
        <v>145</v>
      </c>
      <c r="B107" s="35"/>
      <c r="C107" s="34"/>
      <c r="D107" s="31"/>
      <c r="E107" s="31"/>
      <c r="F107" s="31"/>
    </row>
    <row r="108" spans="1:6">
      <c r="A108" s="39" t="s">
        <v>146</v>
      </c>
      <c r="B108" s="35"/>
      <c r="C108" s="34"/>
      <c r="D108" s="31"/>
      <c r="E108" s="31"/>
      <c r="F108" s="31"/>
    </row>
    <row r="109" spans="1:6">
      <c r="A109" s="39" t="s">
        <v>147</v>
      </c>
      <c r="B109" s="35"/>
      <c r="C109" s="34"/>
      <c r="D109" s="31"/>
      <c r="E109" s="31"/>
      <c r="F109" s="31"/>
    </row>
    <row r="110" spans="1:6">
      <c r="A110" s="39" t="s">
        <v>148</v>
      </c>
      <c r="B110" s="35"/>
      <c r="C110" s="34"/>
      <c r="D110" s="31"/>
      <c r="E110" s="31"/>
      <c r="F110" s="31"/>
    </row>
    <row r="111" spans="1:6">
      <c r="A111" s="39" t="s">
        <v>149</v>
      </c>
      <c r="B111" s="35"/>
      <c r="C111" s="34"/>
      <c r="D111" s="31"/>
      <c r="E111" s="31"/>
      <c r="F111" s="31"/>
    </row>
    <row r="112" spans="1:6">
      <c r="A112" s="39" t="s">
        <v>150</v>
      </c>
      <c r="B112" s="35"/>
      <c r="C112" s="34"/>
      <c r="D112" s="31"/>
      <c r="E112" s="31"/>
      <c r="F112" s="31"/>
    </row>
    <row r="113" spans="1:6">
      <c r="A113" s="39" t="s">
        <v>151</v>
      </c>
      <c r="B113" s="35"/>
      <c r="C113" s="34"/>
      <c r="D113" s="31"/>
      <c r="E113" s="31"/>
      <c r="F113" s="31"/>
    </row>
    <row r="114" spans="1:6">
      <c r="A114" s="56" t="s">
        <v>152</v>
      </c>
      <c r="B114" s="35"/>
      <c r="C114" s="34"/>
      <c r="D114" s="31"/>
      <c r="E114" s="31"/>
      <c r="F114" s="31"/>
    </row>
    <row r="115" spans="1:6">
      <c r="A115" s="56"/>
      <c r="B115" s="35"/>
      <c r="C115" s="34"/>
      <c r="D115" s="31"/>
      <c r="E115" s="31"/>
      <c r="F115" s="31"/>
    </row>
    <row r="116" spans="1:6">
      <c r="A116" s="32" t="s">
        <v>153</v>
      </c>
      <c r="B116" s="35"/>
      <c r="C116" s="34"/>
      <c r="D116" s="31"/>
      <c r="E116" s="31"/>
      <c r="F116" s="31"/>
    </row>
    <row r="117" spans="1:6">
      <c r="A117" s="43" t="s">
        <v>154</v>
      </c>
      <c r="B117" s="44">
        <f>B70</f>
        <v>105964.73425531917</v>
      </c>
      <c r="C117" s="72" t="s">
        <v>155</v>
      </c>
      <c r="D117" s="31"/>
      <c r="E117" s="31"/>
      <c r="F117" s="31"/>
    </row>
    <row r="118" spans="1:6">
      <c r="A118" s="43" t="s">
        <v>156</v>
      </c>
      <c r="B118" s="44">
        <f>B70</f>
        <v>105964.73425531917</v>
      </c>
      <c r="C118" s="72" t="s">
        <v>155</v>
      </c>
      <c r="D118" s="31"/>
      <c r="E118" s="31"/>
      <c r="F118" s="31"/>
    </row>
    <row r="119" spans="1:6">
      <c r="A119" s="60"/>
      <c r="B119" s="61"/>
      <c r="C119" s="62"/>
      <c r="D119" s="63"/>
    </row>
    <row r="120" spans="1:6" ht="105" hidden="1">
      <c r="A120" s="66" t="s">
        <v>25</v>
      </c>
      <c r="B120" s="64">
        <f>B80</f>
        <v>2054569.1065180853</v>
      </c>
      <c r="C120" s="3" t="str">
        <f>C80</f>
        <v>$/start up</v>
      </c>
      <c r="D120" s="30" t="s">
        <v>157</v>
      </c>
      <c r="E120" s="39"/>
    </row>
    <row r="121" spans="1:6" ht="105" hidden="1">
      <c r="A121" s="66" t="s">
        <v>158</v>
      </c>
      <c r="C121" s="3" t="s">
        <v>159</v>
      </c>
      <c r="D121" s="30" t="s">
        <v>160</v>
      </c>
      <c r="E121" s="39"/>
    </row>
    <row r="122" spans="1:6" ht="135" hidden="1">
      <c r="A122" s="67" t="s">
        <v>161</v>
      </c>
      <c r="C122" s="3" t="s">
        <v>159</v>
      </c>
      <c r="D122" s="30" t="s">
        <v>162</v>
      </c>
      <c r="E122" s="39"/>
    </row>
    <row r="123" spans="1:6" hidden="1">
      <c r="A123" s="67" t="s">
        <v>163</v>
      </c>
      <c r="B123" s="36" t="s">
        <v>164</v>
      </c>
      <c r="C123" s="3" t="s">
        <v>49</v>
      </c>
      <c r="D123" s="30" t="s">
        <v>165</v>
      </c>
    </row>
    <row r="124" spans="1:6" hidden="1">
      <c r="A124" s="67" t="s">
        <v>166</v>
      </c>
      <c r="B124" s="36">
        <f>B9</f>
        <v>55</v>
      </c>
      <c r="C124" s="3" t="str">
        <f>C9</f>
        <v>Mwe</v>
      </c>
    </row>
    <row r="125" spans="1:6" hidden="1">
      <c r="A125" s="67" t="s">
        <v>167</v>
      </c>
      <c r="C125" s="3" t="s">
        <v>168</v>
      </c>
      <c r="D125" s="30" t="s">
        <v>169</v>
      </c>
    </row>
    <row r="126" spans="1:6" hidden="1">
      <c r="A126" s="67" t="s">
        <v>170</v>
      </c>
      <c r="C126" s="3" t="s">
        <v>171</v>
      </c>
      <c r="D126" s="70" t="s">
        <v>172</v>
      </c>
    </row>
    <row r="127" spans="1:6" hidden="1">
      <c r="A127" s="68"/>
    </row>
    <row r="128" spans="1:6" hidden="1">
      <c r="A128" s="67"/>
      <c r="B128" s="37"/>
    </row>
    <row r="129" spans="1:4" hidden="1">
      <c r="A129" s="66" t="s">
        <v>173</v>
      </c>
      <c r="B129" s="36" t="s">
        <v>164</v>
      </c>
    </row>
    <row r="130" spans="1:4" hidden="1">
      <c r="A130" s="67" t="s">
        <v>174</v>
      </c>
      <c r="B130" s="36" t="s">
        <v>164</v>
      </c>
      <c r="C130" s="3" t="s">
        <v>139</v>
      </c>
    </row>
    <row r="131" spans="1:4" hidden="1">
      <c r="A131" s="67" t="s">
        <v>175</v>
      </c>
      <c r="B131" s="36" t="s">
        <v>164</v>
      </c>
      <c r="C131" s="3" t="s">
        <v>31</v>
      </c>
    </row>
    <row r="132" spans="1:4">
      <c r="A132" s="67"/>
    </row>
    <row r="133" spans="1:4">
      <c r="A133" s="66" t="s">
        <v>16</v>
      </c>
    </row>
    <row r="134" spans="1:4" ht="105">
      <c r="A134" s="67" t="s">
        <v>176</v>
      </c>
      <c r="B134" s="38"/>
      <c r="C134" s="3" t="s">
        <v>159</v>
      </c>
      <c r="D134" s="30" t="s">
        <v>177</v>
      </c>
    </row>
    <row r="135" spans="1:4" ht="45">
      <c r="A135" s="67" t="s">
        <v>178</v>
      </c>
      <c r="B135" s="36">
        <f>B13/B15</f>
        <v>3.0670753171086966</v>
      </c>
      <c r="C135" s="3" t="s">
        <v>179</v>
      </c>
      <c r="D135" s="30" t="s">
        <v>180</v>
      </c>
    </row>
    <row r="136" spans="1:4">
      <c r="A136" s="67" t="s">
        <v>181</v>
      </c>
      <c r="B136" s="36" t="s">
        <v>164</v>
      </c>
    </row>
    <row r="137" spans="1:4">
      <c r="A137" s="67"/>
      <c r="B137" s="37"/>
    </row>
    <row r="138" spans="1:4">
      <c r="A138" s="66" t="s">
        <v>153</v>
      </c>
    </row>
    <row r="139" spans="1:4" ht="135">
      <c r="A139" s="69" t="s">
        <v>182</v>
      </c>
      <c r="B139" s="38">
        <f>B117/B118</f>
        <v>1</v>
      </c>
      <c r="D139" s="30" t="s">
        <v>183</v>
      </c>
    </row>
    <row r="140" spans="1:4">
      <c r="A140" s="69"/>
      <c r="B140" s="37"/>
    </row>
    <row r="141" spans="1:4" ht="60">
      <c r="A141" s="66" t="s">
        <v>184</v>
      </c>
      <c r="B141" s="3" t="s">
        <v>164</v>
      </c>
      <c r="C141" s="3" t="s">
        <v>185</v>
      </c>
      <c r="D141" s="30" t="s">
        <v>186</v>
      </c>
    </row>
    <row r="142" spans="1:4">
      <c r="A142" s="66"/>
      <c r="B142" s="37"/>
    </row>
    <row r="143" spans="1:4">
      <c r="A143" s="66" t="s">
        <v>187</v>
      </c>
      <c r="B143" s="38"/>
    </row>
    <row r="144" spans="1:4">
      <c r="A144" s="69" t="s">
        <v>20</v>
      </c>
      <c r="B144" s="74">
        <f>B73/B65/B68</f>
        <v>0.53191489361702127</v>
      </c>
      <c r="C144" s="3" t="s">
        <v>31</v>
      </c>
      <c r="D144" t="s">
        <v>188</v>
      </c>
    </row>
    <row r="145" spans="1:4">
      <c r="A145" s="69" t="s">
        <v>189</v>
      </c>
      <c r="B145" s="3">
        <v>0</v>
      </c>
    </row>
    <row r="146" spans="1:4">
      <c r="A146" s="69" t="s">
        <v>190</v>
      </c>
      <c r="B146" s="76">
        <f>SUM(B144:B145)</f>
        <v>0.53191489361702127</v>
      </c>
    </row>
    <row r="147" spans="1:4">
      <c r="A147" s="69"/>
      <c r="B147" s="3"/>
    </row>
    <row r="148" spans="1:4">
      <c r="A148" s="66" t="s">
        <v>191</v>
      </c>
      <c r="B148" s="3" t="s">
        <v>164</v>
      </c>
    </row>
    <row r="149" spans="1:4">
      <c r="A149" s="66"/>
      <c r="B149" s="3"/>
    </row>
    <row r="150" spans="1:4">
      <c r="A150" s="66" t="s">
        <v>24</v>
      </c>
      <c r="B150" s="73">
        <f>B96/B15</f>
        <v>7.3421378249371472</v>
      </c>
      <c r="C150" s="3" t="s">
        <v>31</v>
      </c>
      <c r="D150" s="75"/>
    </row>
    <row r="151" spans="1:4">
      <c r="A151" s="66"/>
      <c r="B151" s="73"/>
      <c r="D151" s="75"/>
    </row>
    <row r="152" spans="1:4">
      <c r="A152" s="66" t="s">
        <v>192</v>
      </c>
      <c r="B152" s="73">
        <v>0</v>
      </c>
      <c r="C152" s="3" t="s">
        <v>31</v>
      </c>
      <c r="D152" s="75" t="s">
        <v>193</v>
      </c>
    </row>
    <row r="153" spans="1:4">
      <c r="A153" s="66"/>
      <c r="B153" s="3"/>
    </row>
    <row r="154" spans="1:4" ht="90">
      <c r="A154" s="66" t="s">
        <v>22</v>
      </c>
      <c r="B154" s="73">
        <f>B144+B152+B96</f>
        <v>6049.352161968086</v>
      </c>
      <c r="C154" s="62" t="s">
        <v>31</v>
      </c>
      <c r="D154" s="70" t="s">
        <v>194</v>
      </c>
    </row>
    <row r="155" spans="1:4">
      <c r="A155" s="66"/>
      <c r="B155" s="71"/>
    </row>
    <row r="156" spans="1:4" ht="30">
      <c r="A156" s="66" t="s">
        <v>195</v>
      </c>
      <c r="B156" s="65"/>
      <c r="D156" s="30" t="s">
        <v>196</v>
      </c>
    </row>
    <row r="157" spans="1:4" ht="105">
      <c r="A157" s="69" t="s">
        <v>197</v>
      </c>
      <c r="B157" s="65">
        <f>B77+B78</f>
        <v>1816802.7022627662</v>
      </c>
      <c r="C157" s="3" t="s">
        <v>27</v>
      </c>
      <c r="D157" s="30" t="s">
        <v>198</v>
      </c>
    </row>
    <row r="158" spans="1:4">
      <c r="A158" s="69" t="s">
        <v>30</v>
      </c>
      <c r="B158" s="65">
        <f>B19</f>
        <v>65</v>
      </c>
      <c r="D158" s="30"/>
    </row>
    <row r="159" spans="1:4" ht="75">
      <c r="A159" s="69" t="s">
        <v>28</v>
      </c>
      <c r="B159" s="65">
        <f>B76</f>
        <v>237766.40425531915</v>
      </c>
      <c r="D159" s="30" t="s">
        <v>199</v>
      </c>
    </row>
    <row r="160" spans="1:4">
      <c r="A160" s="69" t="s">
        <v>200</v>
      </c>
      <c r="B160" s="38" t="s">
        <v>164</v>
      </c>
      <c r="D160" s="30"/>
    </row>
    <row r="161" spans="1:4">
      <c r="A161" s="69" t="s">
        <v>201</v>
      </c>
      <c r="B161" s="38" t="s">
        <v>164</v>
      </c>
      <c r="D161" s="30"/>
    </row>
    <row r="162" spans="1:4">
      <c r="A162" s="69"/>
      <c r="B162" s="38"/>
    </row>
    <row r="163" spans="1:4">
      <c r="A163" s="66" t="s">
        <v>202</v>
      </c>
      <c r="B163" s="38"/>
    </row>
    <row r="164" spans="1:4" ht="150">
      <c r="A164" s="69" t="s">
        <v>203</v>
      </c>
      <c r="B164" s="38">
        <f>B165*B154*B139</f>
        <v>41522270.78621646</v>
      </c>
      <c r="C164" s="3" t="s">
        <v>139</v>
      </c>
      <c r="D164" s="30" t="s">
        <v>204</v>
      </c>
    </row>
    <row r="165" spans="1:4" ht="150">
      <c r="A165" s="69" t="s">
        <v>205</v>
      </c>
      <c r="B165" s="74">
        <f>B96+E33</f>
        <v>6863.9202470744694</v>
      </c>
      <c r="C165" s="3" t="s">
        <v>139</v>
      </c>
      <c r="D165" s="70" t="s">
        <v>206</v>
      </c>
    </row>
    <row r="166" spans="1:4">
      <c r="A166" s="69"/>
      <c r="B166" s="38"/>
    </row>
    <row r="167" spans="1:4">
      <c r="A167" s="66" t="s">
        <v>207</v>
      </c>
      <c r="B167" s="38"/>
    </row>
    <row r="168" spans="1:4" ht="45">
      <c r="A168" s="69" t="s">
        <v>207</v>
      </c>
      <c r="B168" s="38"/>
      <c r="D168" s="30" t="s">
        <v>208</v>
      </c>
    </row>
    <row r="169" spans="1:4" ht="75">
      <c r="A169" s="69" t="s">
        <v>209</v>
      </c>
      <c r="B169" s="38"/>
      <c r="D169" s="30" t="s">
        <v>210</v>
      </c>
    </row>
    <row r="170" spans="1:4">
      <c r="A170" s="69" t="s">
        <v>211</v>
      </c>
      <c r="B170" s="38"/>
      <c r="D170" s="30"/>
    </row>
    <row r="171" spans="1:4" ht="120">
      <c r="A171" s="69" t="s">
        <v>212</v>
      </c>
      <c r="B171" s="38"/>
      <c r="D171" s="30" t="s">
        <v>213</v>
      </c>
    </row>
    <row r="172" spans="1:4">
      <c r="A172" s="69" t="s">
        <v>214</v>
      </c>
      <c r="B172" s="38"/>
      <c r="C172" s="3" t="s">
        <v>32</v>
      </c>
      <c r="D172" s="30"/>
    </row>
    <row r="173" spans="1:4">
      <c r="A173" s="69" t="s">
        <v>215</v>
      </c>
      <c r="B173" s="38"/>
      <c r="D173" s="30"/>
    </row>
    <row r="174" spans="1:4">
      <c r="A174" s="69" t="s">
        <v>216</v>
      </c>
      <c r="B174" s="38" t="e">
        <f>(B168+B169)/(B172)</f>
        <v>#DIV/0!</v>
      </c>
      <c r="C174" s="3" t="s">
        <v>139</v>
      </c>
      <c r="D174" s="30"/>
    </row>
    <row r="175" spans="1:4">
      <c r="A175" s="69" t="s">
        <v>217</v>
      </c>
      <c r="B175" s="38"/>
      <c r="D175" s="30"/>
    </row>
    <row r="176" spans="1:4">
      <c r="A176" s="69"/>
      <c r="B176" s="38"/>
      <c r="D176" s="30"/>
    </row>
    <row r="177" spans="1:5" ht="60">
      <c r="A177" s="66" t="s">
        <v>218</v>
      </c>
      <c r="B177" s="38">
        <f>(B135*B168)/(B35/100*B7)</f>
        <v>0</v>
      </c>
      <c r="C177" s="3" t="s">
        <v>219</v>
      </c>
      <c r="D177" s="30" t="s">
        <v>220</v>
      </c>
      <c r="E177" t="s">
        <v>221</v>
      </c>
    </row>
    <row r="178" spans="1:5">
      <c r="A178" s="66"/>
      <c r="B178" s="38"/>
    </row>
    <row r="179" spans="1:5">
      <c r="A179" s="66" t="s">
        <v>222</v>
      </c>
      <c r="B179" s="38"/>
    </row>
    <row r="180" spans="1:5" ht="30">
      <c r="A180" s="69" t="s">
        <v>223</v>
      </c>
      <c r="B180" s="38" t="s">
        <v>164</v>
      </c>
    </row>
    <row r="181" spans="1:5" ht="30">
      <c r="A181" s="69" t="s">
        <v>224</v>
      </c>
      <c r="B181" s="38" t="s">
        <v>164</v>
      </c>
    </row>
    <row r="182" spans="1:5">
      <c r="A182" s="69" t="s">
        <v>225</v>
      </c>
      <c r="B182" s="38" t="s">
        <v>164</v>
      </c>
    </row>
    <row r="183" spans="1:5">
      <c r="A183" s="69" t="s">
        <v>226</v>
      </c>
      <c r="B183" s="38" t="s">
        <v>164</v>
      </c>
    </row>
    <row r="184" spans="1:5">
      <c r="A184" s="69" t="s">
        <v>227</v>
      </c>
      <c r="B184" s="36" t="s">
        <v>164</v>
      </c>
    </row>
    <row r="185" spans="1:5">
      <c r="A185" s="68"/>
    </row>
    <row r="186" spans="1:5">
      <c r="A186" s="68"/>
    </row>
    <row r="187" spans="1:5">
      <c r="A187" s="68"/>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20"/>
  <sheetViews>
    <sheetView zoomScale="85" zoomScaleNormal="85" workbookViewId="0">
      <pane xSplit="2" ySplit="1" topLeftCell="C2" activePane="bottomRight" state="frozen"/>
      <selection activeCell="E22" sqref="E22"/>
      <selection pane="topRight" activeCell="E22" sqref="E22"/>
      <selection pane="bottomLeft" activeCell="E22" sqref="E22"/>
      <selection pane="bottomRight" activeCell="C9" sqref="C9"/>
    </sheetView>
  </sheetViews>
  <sheetFormatPr defaultColWidth="8.7109375" defaultRowHeight="15"/>
  <cols>
    <col min="1" max="1" width="6.7109375" style="3" customWidth="1"/>
    <col min="2" max="2" width="47.140625" style="5" bestFit="1" customWidth="1"/>
    <col min="3" max="3" width="125.85546875" style="97" customWidth="1"/>
    <col min="4" max="4" width="83.5703125" style="88" customWidth="1"/>
    <col min="5" max="5" width="80.140625" style="88" customWidth="1"/>
    <col min="6" max="6" width="107.5703125" style="8" customWidth="1"/>
    <col min="7" max="16384" width="8.7109375" style="8"/>
  </cols>
  <sheetData>
    <row r="1" spans="1:6">
      <c r="A1" s="89" t="s">
        <v>228</v>
      </c>
      <c r="B1" s="90" t="s">
        <v>230</v>
      </c>
      <c r="C1" s="95" t="s">
        <v>231</v>
      </c>
      <c r="D1" s="95" t="s">
        <v>320</v>
      </c>
    </row>
    <row r="2" spans="1:6">
      <c r="A2" s="101" t="s">
        <v>287</v>
      </c>
      <c r="B2" s="100" t="s">
        <v>153</v>
      </c>
      <c r="C2" s="213" t="s">
        <v>307</v>
      </c>
      <c r="D2" s="213"/>
    </row>
    <row r="3" spans="1:6" ht="75.75" customHeight="1">
      <c r="A3" s="23" t="s">
        <v>232</v>
      </c>
      <c r="B3" s="92" t="s">
        <v>153</v>
      </c>
      <c r="C3" s="214"/>
      <c r="D3" s="214"/>
    </row>
    <row r="4" spans="1:6">
      <c r="A4" s="101" t="s">
        <v>308</v>
      </c>
      <c r="B4" s="100" t="s">
        <v>19</v>
      </c>
      <c r="C4" s="22" t="s">
        <v>233</v>
      </c>
      <c r="D4" s="22"/>
    </row>
    <row r="5" spans="1:6">
      <c r="A5" s="23" t="s">
        <v>17</v>
      </c>
      <c r="B5" s="92" t="s">
        <v>234</v>
      </c>
      <c r="C5" s="96" t="s">
        <v>235</v>
      </c>
      <c r="D5" s="96"/>
    </row>
    <row r="6" spans="1:6" ht="15.6" customHeight="1">
      <c r="A6" s="23" t="s">
        <v>291</v>
      </c>
      <c r="B6" s="133" t="s">
        <v>278</v>
      </c>
      <c r="C6" s="134" t="s">
        <v>322</v>
      </c>
      <c r="D6" s="134"/>
    </row>
    <row r="7" spans="1:6">
      <c r="A7" s="23" t="s">
        <v>286</v>
      </c>
      <c r="B7" s="92" t="s">
        <v>236</v>
      </c>
      <c r="C7" s="96" t="s">
        <v>237</v>
      </c>
      <c r="D7" s="96"/>
    </row>
    <row r="8" spans="1:6">
      <c r="A8" s="23" t="s">
        <v>298</v>
      </c>
      <c r="B8" s="86" t="s">
        <v>280</v>
      </c>
      <c r="C8" s="24" t="s">
        <v>281</v>
      </c>
      <c r="D8" s="24"/>
    </row>
    <row r="9" spans="1:6" ht="92.1" customHeight="1">
      <c r="A9" s="99" t="s">
        <v>301</v>
      </c>
      <c r="B9" s="100" t="s">
        <v>312</v>
      </c>
      <c r="C9" s="94" t="s">
        <v>328</v>
      </c>
      <c r="D9" s="94"/>
      <c r="E9" s="113"/>
      <c r="F9" s="98"/>
    </row>
    <row r="10" spans="1:6" ht="105">
      <c r="A10" s="128" t="s">
        <v>18</v>
      </c>
      <c r="B10" s="129" t="s">
        <v>294</v>
      </c>
      <c r="C10" s="112" t="s">
        <v>329</v>
      </c>
      <c r="D10" s="112"/>
      <c r="E10" s="113"/>
    </row>
    <row r="11" spans="1:6" ht="189.75" customHeight="1">
      <c r="A11" s="21" t="s">
        <v>284</v>
      </c>
      <c r="B11" s="129" t="s">
        <v>297</v>
      </c>
      <c r="C11" s="112" t="s">
        <v>323</v>
      </c>
      <c r="D11" s="112"/>
      <c r="E11" s="113"/>
    </row>
    <row r="12" spans="1:6" ht="75">
      <c r="A12" s="21" t="s">
        <v>285</v>
      </c>
      <c r="B12" s="91" t="s">
        <v>295</v>
      </c>
      <c r="C12" s="112" t="s">
        <v>324</v>
      </c>
      <c r="D12" s="112"/>
      <c r="E12" s="113"/>
    </row>
    <row r="13" spans="1:6" ht="45">
      <c r="A13" s="21" t="s">
        <v>288</v>
      </c>
      <c r="B13" s="91" t="s">
        <v>292</v>
      </c>
      <c r="C13" s="112" t="s">
        <v>293</v>
      </c>
      <c r="D13" s="112"/>
      <c r="E13" s="113"/>
    </row>
    <row r="14" spans="1:6" ht="33.6" customHeight="1">
      <c r="A14" s="99" t="s">
        <v>302</v>
      </c>
      <c r="B14" s="115" t="s">
        <v>25</v>
      </c>
      <c r="C14" s="24" t="s">
        <v>238</v>
      </c>
      <c r="D14" s="24"/>
    </row>
    <row r="15" spans="1:6" ht="141.6" customHeight="1">
      <c r="A15" s="25" t="s">
        <v>303</v>
      </c>
      <c r="B15" s="26" t="s">
        <v>26</v>
      </c>
      <c r="C15" s="93" t="s">
        <v>239</v>
      </c>
      <c r="D15" s="93"/>
    </row>
    <row r="16" spans="1:6" ht="45">
      <c r="A16" s="25" t="s">
        <v>304</v>
      </c>
      <c r="B16" s="26" t="s">
        <v>28</v>
      </c>
      <c r="C16" s="93" t="s">
        <v>276</v>
      </c>
      <c r="D16" s="93"/>
    </row>
    <row r="17" spans="1:4" ht="30">
      <c r="A17" s="117" t="s">
        <v>305</v>
      </c>
      <c r="B17" s="118" t="s">
        <v>29</v>
      </c>
      <c r="C17" s="119" t="s">
        <v>240</v>
      </c>
      <c r="D17" s="119"/>
    </row>
    <row r="18" spans="1:4">
      <c r="A18" s="114" t="s">
        <v>306</v>
      </c>
      <c r="B18" s="120" t="s">
        <v>325</v>
      </c>
      <c r="C18" s="93" t="s">
        <v>326</v>
      </c>
      <c r="D18" s="93"/>
    </row>
    <row r="19" spans="1:4">
      <c r="A19" s="114" t="s">
        <v>309</v>
      </c>
      <c r="B19" s="120" t="s">
        <v>34</v>
      </c>
      <c r="C19" s="121" t="s">
        <v>241</v>
      </c>
      <c r="D19" s="121"/>
    </row>
    <row r="20" spans="1:4" ht="102.6" customHeight="1">
      <c r="A20" s="25" t="s">
        <v>310</v>
      </c>
      <c r="B20" s="26" t="s">
        <v>282</v>
      </c>
      <c r="C20" s="93" t="s">
        <v>327</v>
      </c>
      <c r="D20" s="93"/>
    </row>
  </sheetData>
  <mergeCells count="2">
    <mergeCell ref="C2:C3"/>
    <mergeCell ref="D2:D3"/>
  </mergeCells>
  <phoneticPr fontId="17" type="noConversion"/>
  <pageMargins left="0.7" right="0.7" top="0.75" bottom="0.75" header="0.3" footer="0.3"/>
  <pageSetup paperSize="17" scale="60"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4"/>
  <sheetViews>
    <sheetView zoomScaleNormal="100" workbookViewId="0">
      <selection activeCell="F4" sqref="F4"/>
    </sheetView>
  </sheetViews>
  <sheetFormatPr defaultColWidth="9.140625" defaultRowHeight="15"/>
  <cols>
    <col min="1" max="1" width="2.7109375" style="18" bestFit="1" customWidth="1"/>
    <col min="2" max="2" width="12.85546875" style="4" customWidth="1"/>
    <col min="3" max="3" width="7.5703125" style="4" customWidth="1"/>
    <col min="4" max="4" width="57.28515625" style="4" customWidth="1"/>
    <col min="5" max="5" width="90.28515625" style="4" customWidth="1"/>
    <col min="6" max="6" width="13.85546875" style="4" bestFit="1" customWidth="1"/>
    <col min="7" max="16384" width="9.140625" style="4"/>
  </cols>
  <sheetData>
    <row r="1" spans="1:6" ht="15.75" thickBot="1">
      <c r="B1" s="87"/>
      <c r="C1" s="87"/>
      <c r="D1" s="87"/>
      <c r="E1" s="87"/>
      <c r="F1" s="87"/>
    </row>
    <row r="2" spans="1:6" ht="25.5" customHeight="1" thickBot="1">
      <c r="A2" s="151"/>
      <c r="B2" s="215" t="s">
        <v>267</v>
      </c>
      <c r="C2" s="216"/>
      <c r="D2" s="217"/>
      <c r="E2" s="152"/>
      <c r="F2" s="149"/>
    </row>
    <row r="3" spans="1:6" ht="51.75" thickBot="1">
      <c r="A3" s="153" t="s">
        <v>228</v>
      </c>
      <c r="B3" s="154" t="s">
        <v>268</v>
      </c>
      <c r="C3" s="154" t="s">
        <v>44</v>
      </c>
      <c r="D3" s="154" t="s">
        <v>229</v>
      </c>
      <c r="E3" s="154" t="s">
        <v>269</v>
      </c>
      <c r="F3" s="154" t="s">
        <v>270</v>
      </c>
    </row>
    <row r="4" spans="1:6" ht="135" customHeight="1" thickBot="1">
      <c r="A4" s="127">
        <v>1</v>
      </c>
      <c r="B4" s="150" t="s">
        <v>271</v>
      </c>
      <c r="C4" s="127" t="s">
        <v>31</v>
      </c>
      <c r="D4" s="28" t="s">
        <v>283</v>
      </c>
      <c r="E4" s="127"/>
      <c r="F4" s="178"/>
    </row>
  </sheetData>
  <mergeCells count="1">
    <mergeCell ref="B2:D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
  <sheetViews>
    <sheetView zoomScale="93" zoomScaleNormal="93" workbookViewId="0">
      <selection activeCell="D2" sqref="D2"/>
    </sheetView>
  </sheetViews>
  <sheetFormatPr defaultRowHeight="15"/>
  <cols>
    <col min="1" max="1" width="2.140625" bestFit="1" customWidth="1"/>
    <col min="2" max="2" width="26.28515625" customWidth="1"/>
    <col min="3" max="3" width="8.85546875" bestFit="1" customWidth="1"/>
    <col min="4" max="4" width="44.140625" customWidth="1"/>
    <col min="5" max="5" width="12" customWidth="1"/>
    <col min="6" max="6" width="10.85546875" customWidth="1"/>
    <col min="7" max="7" width="15.85546875" customWidth="1"/>
    <col min="8" max="8" width="22" bestFit="1" customWidth="1"/>
    <col min="9" max="9" width="13" customWidth="1"/>
    <col min="10" max="10" width="13.5703125" customWidth="1"/>
    <col min="11" max="11" width="44" customWidth="1"/>
    <col min="13" max="13" width="23.85546875" customWidth="1"/>
  </cols>
  <sheetData>
    <row r="1" spans="1:13" ht="38.25">
      <c r="A1" s="19" t="s">
        <v>228</v>
      </c>
      <c r="B1" s="19" t="s">
        <v>272</v>
      </c>
      <c r="C1" s="19" t="s">
        <v>44</v>
      </c>
      <c r="D1" s="19" t="s">
        <v>231</v>
      </c>
      <c r="E1" s="19" t="s">
        <v>336</v>
      </c>
      <c r="F1" s="19" t="s">
        <v>337</v>
      </c>
      <c r="G1" s="19" t="s">
        <v>338</v>
      </c>
      <c r="H1" s="19" t="s">
        <v>339</v>
      </c>
      <c r="I1" s="19" t="s">
        <v>340</v>
      </c>
      <c r="J1" s="19" t="s">
        <v>341</v>
      </c>
      <c r="K1" s="19" t="s">
        <v>332</v>
      </c>
    </row>
    <row r="2" spans="1:13" ht="63.75">
      <c r="A2" s="27">
        <v>1</v>
      </c>
      <c r="B2" s="20" t="s">
        <v>342</v>
      </c>
      <c r="C2" s="27" t="s">
        <v>273</v>
      </c>
      <c r="D2" s="183" t="s">
        <v>343</v>
      </c>
      <c r="E2" s="179"/>
      <c r="F2" s="179"/>
      <c r="G2" s="179"/>
      <c r="H2" s="179"/>
      <c r="I2" s="179"/>
      <c r="J2" s="179"/>
      <c r="K2" s="185" t="s">
        <v>330</v>
      </c>
    </row>
    <row r="3" spans="1:13" ht="63.75">
      <c r="A3" s="27">
        <v>2</v>
      </c>
      <c r="B3" s="20" t="s">
        <v>344</v>
      </c>
      <c r="C3" s="27" t="s">
        <v>273</v>
      </c>
      <c r="D3" s="183" t="s">
        <v>343</v>
      </c>
      <c r="E3" s="179"/>
      <c r="F3" s="179"/>
      <c r="G3" s="179"/>
      <c r="H3" s="179"/>
      <c r="I3" s="179"/>
      <c r="J3" s="179"/>
      <c r="K3" s="185" t="s">
        <v>330</v>
      </c>
    </row>
    <row r="4" spans="1:13" ht="63.75">
      <c r="A4" s="27">
        <v>3</v>
      </c>
      <c r="B4" s="20" t="s">
        <v>345</v>
      </c>
      <c r="C4" s="27" t="s">
        <v>273</v>
      </c>
      <c r="D4" s="183" t="s">
        <v>343</v>
      </c>
      <c r="E4" s="179"/>
      <c r="F4" s="179"/>
      <c r="G4" s="179"/>
      <c r="H4" s="179"/>
      <c r="I4" s="179"/>
      <c r="J4" s="179"/>
      <c r="K4" s="185" t="s">
        <v>330</v>
      </c>
    </row>
    <row r="5" spans="1:13" ht="63.75">
      <c r="A5" s="27">
        <v>4</v>
      </c>
      <c r="B5" s="20" t="s">
        <v>346</v>
      </c>
      <c r="C5" s="27" t="s">
        <v>273</v>
      </c>
      <c r="D5" s="183" t="s">
        <v>343</v>
      </c>
      <c r="E5" s="179"/>
      <c r="F5" s="179"/>
      <c r="G5" s="179"/>
      <c r="H5" s="179"/>
      <c r="I5" s="179"/>
      <c r="J5" s="179"/>
      <c r="K5" s="185" t="s">
        <v>330</v>
      </c>
      <c r="M5" s="132"/>
    </row>
    <row r="6" spans="1:13" ht="63.75">
      <c r="A6" s="27">
        <v>5</v>
      </c>
      <c r="B6" s="20" t="s">
        <v>347</v>
      </c>
      <c r="C6" s="27" t="s">
        <v>273</v>
      </c>
      <c r="D6" s="184" t="s">
        <v>343</v>
      </c>
      <c r="E6" s="179"/>
      <c r="F6" s="179"/>
      <c r="G6" s="179"/>
      <c r="H6" s="179"/>
      <c r="I6" s="179"/>
      <c r="J6" s="179"/>
      <c r="K6" s="185" t="s">
        <v>330</v>
      </c>
    </row>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
  <sheetViews>
    <sheetView zoomScale="80" zoomScaleNormal="80" workbookViewId="0">
      <selection activeCell="D3" sqref="D3"/>
    </sheetView>
  </sheetViews>
  <sheetFormatPr defaultRowHeight="15"/>
  <cols>
    <col min="1" max="1" width="5.140625" customWidth="1"/>
    <col min="2" max="2" width="23" customWidth="1"/>
    <col min="3" max="3" width="12.85546875" customWidth="1"/>
    <col min="4" max="4" width="52.140625" customWidth="1"/>
    <col min="5" max="5" width="16.42578125" customWidth="1"/>
    <col min="6" max="6" width="30.85546875" customWidth="1"/>
  </cols>
  <sheetData>
    <row r="2" spans="1:6">
      <c r="A2" s="19" t="s">
        <v>228</v>
      </c>
      <c r="B2" s="19" t="s">
        <v>268</v>
      </c>
      <c r="C2" s="19" t="s">
        <v>44</v>
      </c>
      <c r="D2" s="19" t="s">
        <v>231</v>
      </c>
      <c r="E2" s="19" t="s">
        <v>331</v>
      </c>
      <c r="F2" s="19" t="s">
        <v>332</v>
      </c>
    </row>
    <row r="3" spans="1:6" ht="96" customHeight="1">
      <c r="A3" s="27">
        <v>1</v>
      </c>
      <c r="B3" s="20" t="s">
        <v>333</v>
      </c>
      <c r="C3" s="27" t="s">
        <v>334</v>
      </c>
      <c r="D3" s="27" t="s">
        <v>335</v>
      </c>
      <c r="E3" s="179"/>
      <c r="F3" s="182"/>
    </row>
    <row r="4" spans="1:6" ht="96" customHeight="1"/>
    <row r="5" spans="1:6" ht="96" customHeight="1"/>
    <row r="6" spans="1:6" ht="96" customHeight="1"/>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7"/>
  <sheetViews>
    <sheetView workbookViewId="0">
      <selection activeCell="G14" sqref="G14"/>
    </sheetView>
  </sheetViews>
  <sheetFormatPr defaultRowHeight="15"/>
  <cols>
    <col min="2" max="2" width="15.140625" bestFit="1" customWidth="1"/>
    <col min="3" max="3" width="28.85546875" bestFit="1" customWidth="1"/>
    <col min="4" max="4" width="33.85546875" bestFit="1" customWidth="1"/>
  </cols>
  <sheetData>
    <row r="1" spans="1:4" s="218" customFormat="1" ht="18.75">
      <c r="A1" s="218" t="s">
        <v>0</v>
      </c>
    </row>
    <row r="2" spans="1:4" s="1" customFormat="1">
      <c r="A2" s="1" t="s">
        <v>242</v>
      </c>
    </row>
    <row r="3" spans="1:4" s="1" customFormat="1">
      <c r="A3" s="180" t="s">
        <v>319</v>
      </c>
    </row>
    <row r="4" spans="1:4" s="2" customFormat="1"/>
    <row r="6" spans="1:4">
      <c r="B6" s="146" t="s">
        <v>243</v>
      </c>
      <c r="C6" s="146" t="s">
        <v>244</v>
      </c>
      <c r="D6" s="146" t="s">
        <v>245</v>
      </c>
    </row>
    <row r="7" spans="1:4">
      <c r="B7" s="147" t="s">
        <v>246</v>
      </c>
      <c r="C7" s="181"/>
      <c r="D7" s="181"/>
    </row>
    <row r="8" spans="1:4">
      <c r="B8" s="147" t="s">
        <v>247</v>
      </c>
      <c r="C8" s="181"/>
      <c r="D8" s="181"/>
    </row>
    <row r="9" spans="1:4">
      <c r="B9" s="147" t="s">
        <v>248</v>
      </c>
      <c r="C9" s="181"/>
      <c r="D9" s="181"/>
    </row>
    <row r="10" spans="1:4">
      <c r="B10" s="147" t="s">
        <v>249</v>
      </c>
      <c r="C10" s="181"/>
      <c r="D10" s="181"/>
    </row>
    <row r="11" spans="1:4">
      <c r="B11" s="147" t="s">
        <v>250</v>
      </c>
      <c r="C11" s="181"/>
      <c r="D11" s="181"/>
    </row>
    <row r="12" spans="1:4">
      <c r="B12" s="147" t="s">
        <v>251</v>
      </c>
      <c r="C12" s="181"/>
      <c r="D12" s="181"/>
    </row>
    <row r="13" spans="1:4">
      <c r="B13" s="147" t="s">
        <v>252</v>
      </c>
      <c r="C13" s="181"/>
      <c r="D13" s="181"/>
    </row>
    <row r="14" spans="1:4">
      <c r="B14" s="147" t="s">
        <v>253</v>
      </c>
      <c r="C14" s="181"/>
      <c r="D14" s="181"/>
    </row>
    <row r="15" spans="1:4">
      <c r="B15" s="147" t="s">
        <v>254</v>
      </c>
      <c r="C15" s="181"/>
      <c r="D15" s="181"/>
    </row>
    <row r="16" spans="1:4">
      <c r="B16" s="147" t="s">
        <v>255</v>
      </c>
      <c r="C16" s="181"/>
      <c r="D16" s="181"/>
    </row>
    <row r="17" spans="2:4">
      <c r="B17" s="147" t="s">
        <v>256</v>
      </c>
      <c r="C17" s="181"/>
      <c r="D17" s="181"/>
    </row>
    <row r="18" spans="2:4">
      <c r="B18" s="147" t="s">
        <v>257</v>
      </c>
      <c r="C18" s="181"/>
      <c r="D18" s="181"/>
    </row>
    <row r="19" spans="2:4">
      <c r="B19" s="147" t="s">
        <v>258</v>
      </c>
      <c r="C19" s="181"/>
      <c r="D19" s="181"/>
    </row>
    <row r="20" spans="2:4">
      <c r="B20" s="147" t="s">
        <v>259</v>
      </c>
      <c r="C20" s="181"/>
      <c r="D20" s="181"/>
    </row>
    <row r="21" spans="2:4">
      <c r="B21" s="147" t="s">
        <v>260</v>
      </c>
      <c r="C21" s="181"/>
      <c r="D21" s="181"/>
    </row>
    <row r="22" spans="2:4">
      <c r="B22" s="147" t="s">
        <v>261</v>
      </c>
      <c r="C22" s="181"/>
      <c r="D22" s="181"/>
    </row>
    <row r="23" spans="2:4">
      <c r="B23" s="147" t="s">
        <v>262</v>
      </c>
      <c r="C23" s="181"/>
      <c r="D23" s="181"/>
    </row>
    <row r="24" spans="2:4">
      <c r="B24" s="147" t="s">
        <v>263</v>
      </c>
      <c r="C24" s="181"/>
      <c r="D24" s="181"/>
    </row>
    <row r="25" spans="2:4">
      <c r="B25" s="147" t="s">
        <v>264</v>
      </c>
      <c r="C25" s="181"/>
      <c r="D25" s="181"/>
    </row>
    <row r="26" spans="2:4">
      <c r="B26" s="147" t="s">
        <v>265</v>
      </c>
      <c r="C26" s="181"/>
      <c r="D26" s="181"/>
    </row>
    <row r="27" spans="2:4">
      <c r="B27" s="147" t="s">
        <v>266</v>
      </c>
      <c r="C27" s="181"/>
      <c r="D27" s="181"/>
    </row>
  </sheetData>
  <autoFilter ref="B6:D26"/>
  <mergeCells count="1">
    <mergeCell ref="A1:XF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636447026936980337</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5ED42797DA1484DB76445A9E5CB4E40" ma:contentTypeVersion="5" ma:contentTypeDescription="Create a new document." ma:contentTypeScope="" ma:versionID="9b9bb1447a00752841f1d51b95e4d96d">
  <xsd:schema xmlns:xsd="http://www.w3.org/2001/XMLSchema" xmlns:xs="http://www.w3.org/2001/XMLSchema" xmlns:p="http://schemas.microsoft.com/office/2006/metadata/properties" xmlns:ns2="28d1961b-67d9-4e32-87ba-142d7a745b40" targetNamespace="http://schemas.microsoft.com/office/2006/metadata/properties" ma:root="true" ma:fieldsID="d5b22af716cd6ce4c284d291b73fedeb" ns2:_="">
    <xsd:import namespace="28d1961b-67d9-4e32-87ba-142d7a745b40"/>
    <xsd:element name="properties">
      <xsd:complexType>
        <xsd:sequence>
          <xsd:element name="documentManagement">
            <xsd:complexType>
              <xsd:all>
                <xsd:element ref="ns2:Topic" minOccurs="0"/>
                <xsd:element ref="ns2:Document_x0020_Type"/>
                <xsd:element ref="ns2:Parent_x0020_Detailed_x0020_Design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1961b-67d9-4e32-87ba-142d7a745b40" elementFormDefault="qualified">
    <xsd:import namespace="http://schemas.microsoft.com/office/2006/documentManagement/types"/>
    <xsd:import namespace="http://schemas.microsoft.com/office/infopath/2007/PartnerControls"/>
    <xsd:element name="Topic" ma:index="2" nillable="true" ma:displayName="Market Function (Batch)" ma:internalName="Topic" ma:requiredMultiChoice="true">
      <xsd:complexType>
        <xsd:complexContent>
          <xsd:extension base="dms:MultiChoice">
            <xsd:sequence>
              <xsd:element name="Value" maxOccurs="unbounded" minOccurs="0" nillable="true">
                <xsd:simpleType>
                  <xsd:restriction base="dms:Choice">
                    <xsd:enumeration value="Calculation Engines"/>
                    <xsd:enumeration value="Market Billing &amp; Reporting"/>
                    <xsd:enumeration value="Market Entry &amp; Prudentials"/>
                    <xsd:enumeration value="Market Power Mitigation &amp; Market Administration"/>
                    <xsd:enumeration value="Market &amp; System Operations"/>
                    <xsd:enumeration value="Market Settlements &amp; Metering"/>
                    <xsd:enumeration value="Not Applicable"/>
                    <xsd:enumeration value="Omnibus"/>
                    <xsd:enumeration value="Storage"/>
                  </xsd:restriction>
                </xsd:simpleType>
              </xsd:element>
            </xsd:sequence>
          </xsd:extension>
        </xsd:complexContent>
      </xsd:complexType>
    </xsd:element>
    <xsd:element name="Document_x0020_Type" ma:index="3" ma:displayName="Document Type" ma:format="Dropdown" ma:internalName="Document_x0020_Type">
      <xsd:simpleType>
        <xsd:restriction base="dms:Choice">
          <xsd:enumeration value="Administration"/>
          <xsd:enumeration value="Business Requirements Document"/>
          <xsd:enumeration value="Dispatch Scheduling &amp; Optimization"/>
          <xsd:enumeration value="External Engagement"/>
          <xsd:enumeration value="External Training Materials"/>
          <xsd:enumeration value="Functional Specification"/>
          <xsd:enumeration value="Information Catalogue"/>
          <xsd:enumeration value="Information Model"/>
          <xsd:enumeration value="Internal Engagement"/>
          <xsd:enumeration value="Internal Manual"/>
          <xsd:enumeration value="Internal Training Materials"/>
          <xsd:enumeration value="Market Manual"/>
          <xsd:enumeration value="Market Rule Administration"/>
          <xsd:enumeration value="Market Rule Segment"/>
          <xsd:enumeration value="Market Rule Compiled"/>
          <xsd:enumeration value="Process Map"/>
          <xsd:enumeration value="Process Model"/>
          <xsd:enumeration value="Process Model &amp; Specification"/>
          <xsd:enumeration value="Process Specification"/>
          <xsd:enumeration value="Quality Supporting Document"/>
          <xsd:enumeration value="RL &amp; RQ Consultations"/>
          <xsd:enumeration value="Technical Reference or Interface"/>
          <xsd:enumeration value="User Guide"/>
        </xsd:restriction>
      </xsd:simpleType>
    </xsd:element>
    <xsd:element name="Parent_x0020_Detailed_x0020_Design_x0020_Document" ma:index="11" nillable="true" ma:displayName="Parent Detailed Design Document" ma:internalName="Parent_x0020_Detailed_x0020_Design_x0020_Document" ma:requiredMultiChoice="true">
      <xsd:complexType>
        <xsd:complexContent>
          <xsd:extension base="dms:MultiChoice">
            <xsd:sequence>
              <xsd:element name="Value" maxOccurs="unbounded" minOccurs="0" nillable="true">
                <xsd:simpleType>
                  <xsd:restriction base="dms:Choice">
                    <xsd:enumeration value="Authorization and Participation"/>
                    <xsd:enumeration value="Day-Ahead Market Calculation Engine"/>
                    <xsd:enumeration value="Facility Registration"/>
                    <xsd:enumeration value="Grid and Market Operations Integration"/>
                    <xsd:enumeration value="Market Billing and Funds Administration"/>
                    <xsd:enumeration value="Market Power Mitigation"/>
                    <xsd:enumeration value="Market Settlements"/>
                    <xsd:enumeration value="Not Applicable"/>
                    <xsd:enumeration value="Offers, Bids and Data Inputs"/>
                    <xsd:enumeration value="Pre-Dispatch Calculation Engine"/>
                    <xsd:enumeration value="Prudential Security"/>
                    <xsd:enumeration value="Publishing and Reporting Market Information"/>
                    <xsd:enumeration value="Real-Time Calculation Engine"/>
                    <xsd:enumeration value="Revenue Meter Registration"/>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opic xmlns="28d1961b-67d9-4e32-87ba-142d7a745b40">
      <Value>Market Power Mitigation &amp; Market Administration</Value>
    </Topic>
    <Document_x0020_Type xmlns="28d1961b-67d9-4e32-87ba-142d7a745b40">External Engagement</Document_x0020_Type>
    <Parent_x0020_Detailed_x0020_Design_x0020_Document xmlns="28d1961b-67d9-4e32-87ba-142d7a745b40">
      <Value>Market Power Mitigation</Value>
    </Parent_x0020_Detailed_x0020_Design_x0020_Document>
  </documentManagement>
</p:properties>
</file>

<file path=customXml/itemProps1.xml><?xml version="1.0" encoding="utf-8"?>
<ds:datastoreItem xmlns:ds="http://schemas.openxmlformats.org/officeDocument/2006/customXml" ds:itemID="{22FA66E3-ACB6-4A74-8FF0-E59BF956E77D}">
  <ds:schemaRefs>
    <ds:schemaRef ds:uri="http://schemas.microsoft.com/sharepoint/v3/contenttype/forms"/>
  </ds:schemaRefs>
</ds:datastoreItem>
</file>

<file path=customXml/itemProps2.xml><?xml version="1.0" encoding="utf-8"?>
<ds:datastoreItem xmlns:ds="http://schemas.openxmlformats.org/officeDocument/2006/customXml" ds:itemID="{1E9A76F2-CE3D-46B6-AA4C-80BCC863767A}">
  <ds:schemaRefs>
    <ds:schemaRef ds:uri="http://schemas.microsoft.com/sharepoint/events"/>
  </ds:schemaRefs>
</ds:datastoreItem>
</file>

<file path=customXml/itemProps3.xml><?xml version="1.0" encoding="utf-8"?>
<ds:datastoreItem xmlns:ds="http://schemas.openxmlformats.org/officeDocument/2006/customXml" ds:itemID="{B4CF9806-B4EA-47BE-AAC5-B17113A0CC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d1961b-67d9-4e32-87ba-142d7a745b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F0AE1D-40C3-4CF0-9C34-FA60529C9CD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d1961b-67d9-4e32-87ba-142d7a745b4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Reference Level Cost Components</vt:lpstr>
      <vt:lpstr>Draft Reference Cost</vt:lpstr>
      <vt:lpstr>Definitions of Cost Components</vt:lpstr>
      <vt:lpstr>FinDispatchDataParameters</vt:lpstr>
      <vt:lpstr>Non-FinDispatchDataParameters</vt:lpstr>
      <vt:lpstr>Reference Quantity</vt:lpstr>
      <vt:lpstr>Supporting Documentation List</vt:lpstr>
      <vt:lpstr>Introduction!_Toc33773272</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Workbook_NuclearResources</dc:title>
  <dc:subject/>
  <dc:creator>Nino Vakhtangishvili</dc:creator>
  <cp:keywords/>
  <dc:description/>
  <cp:lastModifiedBy>Anu Sridhar</cp:lastModifiedBy>
  <cp:revision/>
  <dcterms:created xsi:type="dcterms:W3CDTF">2020-02-05T19:26:57Z</dcterms:created>
  <dcterms:modified xsi:type="dcterms:W3CDTF">2021-12-17T14:00:25Z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0x01010095ED42797DA1484DB76445A9E5CB4E40</vt:lpwstr>
  </property>
</Properties>
</file>